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Data\TNMS\TNMS-Downloads\MPUconfigurator\"/>
    </mc:Choice>
  </mc:AlternateContent>
  <xr:revisionPtr revIDLastSave="0" documentId="13_ncr:1_{C59005CF-86E8-4110-A164-3D582EDA87D3}" xr6:coauthVersionLast="47" xr6:coauthVersionMax="47" xr10:uidLastSave="{00000000-0000-0000-0000-000000000000}"/>
  <bookViews>
    <workbookView xWindow="-120" yWindow="-120" windowWidth="29040" windowHeight="15720" xr2:uid="{829A3539-6958-49F7-B86C-1CC59989F1B8}"/>
  </bookViews>
  <sheets>
    <sheet name="CONFIG" sheetId="2" r:id="rId1"/>
    <sheet name="CODE_KEIL" sheetId="3" r:id="rId2"/>
    <sheet name="CODE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5" i="3" l="1"/>
  <c r="A57" i="3"/>
  <c r="A60" i="3"/>
  <c r="A90" i="3"/>
  <c r="A96" i="3"/>
  <c r="A98" i="3"/>
  <c r="A100" i="3"/>
  <c r="A102" i="3"/>
  <c r="A104" i="3"/>
  <c r="A106" i="3"/>
  <c r="A108" i="3"/>
  <c r="A110" i="3"/>
  <c r="A112" i="3"/>
  <c r="A123" i="3"/>
  <c r="A125" i="3"/>
  <c r="A128" i="3"/>
  <c r="A160" i="3"/>
  <c r="A164" i="3"/>
  <c r="A165" i="3"/>
  <c r="A214" i="3" s="1"/>
  <c r="A167" i="3"/>
  <c r="A169" i="3"/>
  <c r="A172" i="3"/>
  <c r="A202" i="3"/>
  <c r="A208" i="3"/>
  <c r="A210" i="3"/>
  <c r="A212" i="3"/>
  <c r="A222" i="3"/>
  <c r="A224" i="3"/>
  <c r="A235" i="3"/>
  <c r="A237" i="3"/>
  <c r="A240" i="3"/>
  <c r="A272" i="3"/>
  <c r="A276" i="3"/>
  <c r="A388" i="3" s="1"/>
  <c r="A500" i="3" s="1"/>
  <c r="A612" i="3" s="1"/>
  <c r="A724" i="3" s="1"/>
  <c r="A836" i="3" s="1"/>
  <c r="A277" i="3"/>
  <c r="A332" i="3" s="1"/>
  <c r="F138" i="2"/>
  <c r="F137" i="2"/>
  <c r="F136" i="2"/>
  <c r="F135" i="2"/>
  <c r="F126" i="2"/>
  <c r="F125" i="2"/>
  <c r="F124" i="2"/>
  <c r="F123" i="2"/>
  <c r="F119" i="2"/>
  <c r="F118" i="2"/>
  <c r="F117" i="2"/>
  <c r="F116" i="2"/>
  <c r="F107" i="2"/>
  <c r="F106" i="2"/>
  <c r="F105" i="2"/>
  <c r="F104" i="2"/>
  <c r="F100" i="2"/>
  <c r="F99" i="2"/>
  <c r="F98" i="2"/>
  <c r="F97" i="2"/>
  <c r="F88" i="2"/>
  <c r="F87" i="2"/>
  <c r="F86" i="2"/>
  <c r="F85" i="2"/>
  <c r="F81" i="2"/>
  <c r="F80" i="2"/>
  <c r="F79" i="2"/>
  <c r="F78" i="2"/>
  <c r="F69" i="2"/>
  <c r="F68" i="2"/>
  <c r="F67" i="2"/>
  <c r="F66" i="2"/>
  <c r="F62" i="2"/>
  <c r="F61" i="2"/>
  <c r="F60" i="2"/>
  <c r="F59" i="2"/>
  <c r="F50" i="2"/>
  <c r="F49" i="2"/>
  <c r="F48" i="2"/>
  <c r="F47" i="2"/>
  <c r="F42" i="2"/>
  <c r="F30" i="2"/>
  <c r="F29" i="2"/>
  <c r="A145" i="2"/>
  <c r="F157" i="2" s="1"/>
  <c r="A126" i="2"/>
  <c r="A107" i="2"/>
  <c r="A88" i="2"/>
  <c r="A69" i="2"/>
  <c r="A50" i="2"/>
  <c r="A31" i="2"/>
  <c r="F41" i="2" s="1"/>
  <c r="A12" i="2"/>
  <c r="A144" i="2"/>
  <c r="A125" i="2"/>
  <c r="A106" i="2"/>
  <c r="A87" i="2"/>
  <c r="A68" i="2"/>
  <c r="A49" i="2"/>
  <c r="A30" i="2"/>
  <c r="A11" i="2"/>
  <c r="A142" i="2"/>
  <c r="A123" i="2"/>
  <c r="A104" i="2"/>
  <c r="A85" i="2"/>
  <c r="A66" i="2"/>
  <c r="A47" i="2"/>
  <c r="A28" i="2"/>
  <c r="E66" i="2"/>
  <c r="E67" i="2"/>
  <c r="E68" i="2"/>
  <c r="E85" i="2"/>
  <c r="E86" i="2"/>
  <c r="E87" i="2"/>
  <c r="E104" i="2"/>
  <c r="E105" i="2"/>
  <c r="E106" i="2"/>
  <c r="E123" i="2"/>
  <c r="E124" i="2"/>
  <c r="E125" i="2"/>
  <c r="E142" i="2"/>
  <c r="E143" i="2"/>
  <c r="E144" i="2"/>
  <c r="E47" i="2"/>
  <c r="E48" i="2"/>
  <c r="E49" i="2"/>
  <c r="E28" i="2"/>
  <c r="E29" i="2"/>
  <c r="E30" i="2"/>
  <c r="E11" i="2"/>
  <c r="E10" i="2"/>
  <c r="E9" i="2"/>
  <c r="A9" i="2"/>
  <c r="B38" i="4"/>
  <c r="B37" i="4"/>
  <c r="B36" i="4"/>
  <c r="B81" i="4"/>
  <c r="B76" i="4"/>
  <c r="B60" i="4"/>
  <c r="B55" i="4"/>
  <c r="B54" i="4"/>
  <c r="B161" i="3"/>
  <c r="B114" i="3"/>
  <c r="B113" i="3"/>
  <c r="A63" i="4"/>
  <c r="A65" i="4" s="1"/>
  <c r="A62" i="4"/>
  <c r="B75" i="4" s="1"/>
  <c r="B80" i="4" a="1"/>
  <c r="B206" i="4" a="1"/>
  <c r="B164" i="4" a="1"/>
  <c r="B59" i="4" a="1"/>
  <c r="B272" i="3" a="1"/>
  <c r="B160" i="3" a="1"/>
  <c r="B63" i="4"/>
  <c r="B42" i="4"/>
  <c r="B185" i="4" a="1"/>
  <c r="B143" i="4" a="1"/>
  <c r="B122" i="4" a="1"/>
  <c r="B101" i="4" a="1"/>
  <c r="B206" i="4" l="1"/>
  <c r="B185" i="4"/>
  <c r="B164" i="4"/>
  <c r="B143" i="4"/>
  <c r="B122" i="4"/>
  <c r="B101" i="4"/>
  <c r="B80" i="4"/>
  <c r="B59" i="4"/>
  <c r="A324" i="3"/>
  <c r="A389" i="3"/>
  <c r="A436" i="3" s="1"/>
  <c r="A384" i="3"/>
  <c r="A314" i="3"/>
  <c r="A220" i="3"/>
  <c r="A334" i="3"/>
  <c r="A330" i="3"/>
  <c r="A328" i="3"/>
  <c r="A322" i="3"/>
  <c r="A320" i="3"/>
  <c r="A352" i="3"/>
  <c r="A218" i="3"/>
  <c r="B385" i="3"/>
  <c r="A349" i="3"/>
  <c r="A281" i="3"/>
  <c r="A216" i="3"/>
  <c r="A326" i="3"/>
  <c r="A284" i="3"/>
  <c r="A347" i="3"/>
  <c r="A279" i="3"/>
  <c r="A336" i="3"/>
  <c r="A444" i="3"/>
  <c r="A442" i="3"/>
  <c r="A440" i="3"/>
  <c r="A501" i="3"/>
  <c r="A434" i="3"/>
  <c r="A496" i="3"/>
  <c r="A432" i="3"/>
  <c r="A464" i="3"/>
  <c r="B272" i="3"/>
  <c r="B160" i="3"/>
  <c r="F9" i="2"/>
  <c r="B62" i="4"/>
  <c r="F143" i="2"/>
  <c r="F144" i="2"/>
  <c r="F142" i="2"/>
  <c r="F154" i="2"/>
  <c r="F155" i="2"/>
  <c r="F156" i="2"/>
  <c r="F145" i="2"/>
  <c r="F28" i="2"/>
  <c r="F31" i="2"/>
  <c r="F43" i="2"/>
  <c r="F40" i="2"/>
  <c r="F21" i="2"/>
  <c r="F10" i="2"/>
  <c r="F12" i="2"/>
  <c r="F22" i="2"/>
  <c r="F23" i="2"/>
  <c r="F24" i="2"/>
  <c r="F11" i="2"/>
  <c r="A66" i="4"/>
  <c r="A67" i="4"/>
  <c r="A70" i="4"/>
  <c r="A72" i="4"/>
  <c r="A77" i="4"/>
  <c r="A68" i="4"/>
  <c r="A71" i="4"/>
  <c r="A79" i="4"/>
  <c r="A73" i="4"/>
  <c r="A80" i="4"/>
  <c r="A74" i="4"/>
  <c r="A64" i="4"/>
  <c r="A69" i="4"/>
  <c r="A78" i="4"/>
  <c r="A83" i="4"/>
  <c r="A84" i="4"/>
  <c r="A94" i="4" s="1"/>
  <c r="A88" i="4"/>
  <c r="A59" i="4"/>
  <c r="A58" i="4"/>
  <c r="A57" i="4"/>
  <c r="A56" i="4"/>
  <c r="A53" i="4"/>
  <c r="A52" i="4"/>
  <c r="A51" i="4"/>
  <c r="A50" i="4"/>
  <c r="A49" i="4"/>
  <c r="A48" i="4"/>
  <c r="A47" i="4"/>
  <c r="A46" i="4"/>
  <c r="A45" i="4"/>
  <c r="A44" i="4"/>
  <c r="A43" i="4"/>
  <c r="B41" i="4"/>
  <c r="B162" i="3"/>
  <c r="B53" i="3"/>
  <c r="B52" i="3"/>
  <c r="B41" i="3"/>
  <c r="B48" i="3"/>
  <c r="B44" i="3"/>
  <c r="B58" i="4"/>
  <c r="B56" i="4" a="1"/>
  <c r="B51" i="4"/>
  <c r="B112" i="3"/>
  <c r="B43" i="4"/>
  <c r="B70" i="4"/>
  <c r="B77" i="4" a="1"/>
  <c r="B496" i="3" a="1"/>
  <c r="B48" i="4"/>
  <c r="B110" i="3"/>
  <c r="B125" i="3"/>
  <c r="B60" i="3" a="1"/>
  <c r="B46" i="4"/>
  <c r="B88" i="4"/>
  <c r="B106" i="3"/>
  <c r="B102" i="3"/>
  <c r="B57" i="3"/>
  <c r="B71" i="4"/>
  <c r="B214" i="3"/>
  <c r="B65" i="4" a="1"/>
  <c r="B53" i="4"/>
  <c r="B45" i="4" a="1"/>
  <c r="B74" i="4"/>
  <c r="B52" i="4"/>
  <c r="B100" i="3"/>
  <c r="B79" i="4"/>
  <c r="B108" i="3"/>
  <c r="B50" i="4"/>
  <c r="B94" i="4"/>
  <c r="B96" i="3"/>
  <c r="B384" i="3" a="1"/>
  <c r="B68" i="4"/>
  <c r="B55" i="3"/>
  <c r="B73" i="4"/>
  <c r="B128" i="3"/>
  <c r="B69" i="4"/>
  <c r="B49" i="4"/>
  <c r="B98" i="3"/>
  <c r="B44" i="4" a="1"/>
  <c r="B84" i="4"/>
  <c r="B72" i="4"/>
  <c r="B64" i="4"/>
  <c r="B66" i="4" a="1"/>
  <c r="B90" i="3" a="1"/>
  <c r="B57" i="4"/>
  <c r="B78" i="4"/>
  <c r="B123" i="3" a="1"/>
  <c r="B104" i="3"/>
  <c r="B67" i="4"/>
  <c r="B47" i="4"/>
  <c r="B384" i="3" l="1"/>
  <c r="A426" i="3"/>
  <c r="A461" i="3"/>
  <c r="A391" i="3"/>
  <c r="A393" i="3"/>
  <c r="A396" i="3"/>
  <c r="A446" i="3"/>
  <c r="A448" i="3"/>
  <c r="A459" i="3"/>
  <c r="A438" i="3"/>
  <c r="B496" i="3"/>
  <c r="A552" i="3"/>
  <c r="A554" i="3"/>
  <c r="A556" i="3"/>
  <c r="A558" i="3"/>
  <c r="A503" i="3"/>
  <c r="A560" i="3"/>
  <c r="A505" i="3"/>
  <c r="A571" i="3"/>
  <c r="A508" i="3"/>
  <c r="A573" i="3"/>
  <c r="A538" i="3"/>
  <c r="A576" i="3"/>
  <c r="A544" i="3"/>
  <c r="A608" i="3"/>
  <c r="A546" i="3"/>
  <c r="A548" i="3"/>
  <c r="A613" i="3"/>
  <c r="A550" i="3"/>
  <c r="B60" i="3"/>
  <c r="B273" i="3"/>
  <c r="B77" i="4"/>
  <c r="B66" i="4"/>
  <c r="B56" i="4"/>
  <c r="B45" i="4"/>
  <c r="B102" i="4"/>
  <c r="B97" i="4"/>
  <c r="B96" i="4"/>
  <c r="B83" i="4"/>
  <c r="A85" i="4"/>
  <c r="B123" i="3"/>
  <c r="B90" i="3"/>
  <c r="B274" i="3"/>
  <c r="B226" i="3"/>
  <c r="B225" i="3"/>
  <c r="B165" i="3"/>
  <c r="B164" i="3"/>
  <c r="B65" i="4"/>
  <c r="B44" i="4"/>
  <c r="A101" i="4"/>
  <c r="A100" i="4"/>
  <c r="A99" i="4"/>
  <c r="A98" i="4"/>
  <c r="A105" i="4"/>
  <c r="A91" i="4"/>
  <c r="A87" i="4"/>
  <c r="A90" i="4"/>
  <c r="A93" i="4"/>
  <c r="A92" i="4"/>
  <c r="A104" i="4"/>
  <c r="A86" i="4"/>
  <c r="A95" i="4"/>
  <c r="A89" i="4"/>
  <c r="B91" i="4"/>
  <c r="B237" i="3"/>
  <c r="B98" i="4" a="1"/>
  <c r="B87" i="4" a="1"/>
  <c r="B92" i="4"/>
  <c r="B99" i="4"/>
  <c r="B218" i="3"/>
  <c r="B208" i="3"/>
  <c r="B93" i="4"/>
  <c r="B95" i="4"/>
  <c r="B202" i="3" a="1"/>
  <c r="B89" i="4"/>
  <c r="B220" i="3"/>
  <c r="B222" i="3"/>
  <c r="B235" i="3" a="1"/>
  <c r="B86" i="4" a="1"/>
  <c r="B210" i="3"/>
  <c r="B100" i="4"/>
  <c r="B167" i="3"/>
  <c r="B608" i="3" a="1"/>
  <c r="B240" i="3"/>
  <c r="B169" i="3"/>
  <c r="B90" i="4"/>
  <c r="B85" i="4"/>
  <c r="B172" i="3" a="1"/>
  <c r="B105" i="4"/>
  <c r="B216" i="3"/>
  <c r="B212" i="3"/>
  <c r="B224" i="3"/>
  <c r="B608" i="3" l="1"/>
  <c r="A617" i="3"/>
  <c r="A683" i="3"/>
  <c r="A620" i="3"/>
  <c r="A685" i="3"/>
  <c r="A650" i="3"/>
  <c r="A688" i="3"/>
  <c r="A656" i="3"/>
  <c r="A720" i="3"/>
  <c r="A658" i="3"/>
  <c r="A660" i="3"/>
  <c r="A725" i="3"/>
  <c r="A662" i="3"/>
  <c r="A664" i="3"/>
  <c r="A666" i="3"/>
  <c r="A668" i="3"/>
  <c r="A670" i="3"/>
  <c r="A615" i="3"/>
  <c r="A672" i="3"/>
  <c r="B87" i="4"/>
  <c r="B98" i="4"/>
  <c r="B86" i="4"/>
  <c r="B123" i="4"/>
  <c r="B118" i="4"/>
  <c r="B117" i="4"/>
  <c r="B104" i="4"/>
  <c r="B202" i="3"/>
  <c r="B235" i="3"/>
  <c r="B172" i="3"/>
  <c r="B337" i="3"/>
  <c r="B277" i="3"/>
  <c r="B276" i="3"/>
  <c r="B386" i="3"/>
  <c r="B338" i="3"/>
  <c r="A121" i="4"/>
  <c r="A120" i="4"/>
  <c r="A122" i="4"/>
  <c r="A119" i="4"/>
  <c r="A125" i="4"/>
  <c r="A111" i="4"/>
  <c r="A114" i="4"/>
  <c r="A126" i="4"/>
  <c r="A108" i="4"/>
  <c r="A113" i="4"/>
  <c r="A112" i="4"/>
  <c r="A109" i="4"/>
  <c r="A115" i="4"/>
  <c r="A106" i="4"/>
  <c r="A110" i="4"/>
  <c r="A116" i="4"/>
  <c r="A107" i="4"/>
  <c r="B320" i="3"/>
  <c r="B426" i="3" a="1"/>
  <c r="B446" i="3"/>
  <c r="B284" i="3" a="1"/>
  <c r="B459" i="3" a="1"/>
  <c r="B109" i="4"/>
  <c r="B442" i="3"/>
  <c r="B112" i="4"/>
  <c r="B115" i="4"/>
  <c r="B110" i="4"/>
  <c r="B281" i="3"/>
  <c r="B119" i="4" a="1"/>
  <c r="B448" i="3"/>
  <c r="B461" i="3"/>
  <c r="B434" i="3"/>
  <c r="B444" i="3"/>
  <c r="B440" i="3"/>
  <c r="B349" i="3"/>
  <c r="B330" i="3"/>
  <c r="B326" i="3"/>
  <c r="B352" i="3"/>
  <c r="B107" i="4" a="1"/>
  <c r="B396" i="3" a="1"/>
  <c r="B113" i="4"/>
  <c r="B111" i="4"/>
  <c r="B108" i="4" a="1"/>
  <c r="B347" i="3" a="1"/>
  <c r="B116" i="4"/>
  <c r="B279" i="3"/>
  <c r="B106" i="4"/>
  <c r="B121" i="4"/>
  <c r="B432" i="3"/>
  <c r="B720" i="3" a="1"/>
  <c r="B120" i="4"/>
  <c r="B334" i="3"/>
  <c r="B328" i="3"/>
  <c r="B464" i="3"/>
  <c r="B126" i="4"/>
  <c r="B114" i="4"/>
  <c r="B332" i="3"/>
  <c r="B391" i="3"/>
  <c r="B393" i="3"/>
  <c r="B314" i="3" a="1"/>
  <c r="B322" i="3"/>
  <c r="B324" i="3"/>
  <c r="B438" i="3"/>
  <c r="B436" i="3"/>
  <c r="B336" i="3"/>
  <c r="B720" i="3" l="1"/>
  <c r="A772" i="3"/>
  <c r="A837" i="3"/>
  <c r="A774" i="3"/>
  <c r="A776" i="3"/>
  <c r="A778" i="3"/>
  <c r="A780" i="3"/>
  <c r="A782" i="3"/>
  <c r="A727" i="3"/>
  <c r="A784" i="3"/>
  <c r="A729" i="3"/>
  <c r="A795" i="3"/>
  <c r="A732" i="3"/>
  <c r="A797" i="3"/>
  <c r="A762" i="3"/>
  <c r="A800" i="3"/>
  <c r="A768" i="3"/>
  <c r="A832" i="3"/>
  <c r="A770" i="3"/>
  <c r="B108" i="4"/>
  <c r="B107" i="4"/>
  <c r="B119" i="4"/>
  <c r="B138" i="4"/>
  <c r="B125" i="4"/>
  <c r="B144" i="4"/>
  <c r="B139" i="4"/>
  <c r="B347" i="3"/>
  <c r="B314" i="3"/>
  <c r="B284" i="3"/>
  <c r="B426" i="3"/>
  <c r="B459" i="3"/>
  <c r="B396" i="3"/>
  <c r="B498" i="3"/>
  <c r="B497" i="3"/>
  <c r="B450" i="3"/>
  <c r="B449" i="3"/>
  <c r="B389" i="3"/>
  <c r="B388" i="3"/>
  <c r="A143" i="4"/>
  <c r="A142" i="4"/>
  <c r="A141" i="4"/>
  <c r="A140" i="4"/>
  <c r="A132" i="4"/>
  <c r="A135" i="4"/>
  <c r="A134" i="4"/>
  <c r="A147" i="4"/>
  <c r="A133" i="4"/>
  <c r="A129" i="4"/>
  <c r="A130" i="4"/>
  <c r="A136" i="4"/>
  <c r="A127" i="4"/>
  <c r="A131" i="4"/>
  <c r="A137" i="4"/>
  <c r="A128" i="4"/>
  <c r="A146" i="4"/>
  <c r="B132" i="4"/>
  <c r="B571" i="3" a="1"/>
  <c r="B508" i="3" a="1"/>
  <c r="B147" i="4"/>
  <c r="B131" i="4"/>
  <c r="B558" i="3"/>
  <c r="B573" i="3"/>
  <c r="B550" i="3"/>
  <c r="B130" i="4"/>
  <c r="B546" i="3"/>
  <c r="B544" i="3"/>
  <c r="B505" i="3"/>
  <c r="B560" i="3"/>
  <c r="B538" i="3" a="1"/>
  <c r="B552" i="3"/>
  <c r="B832" i="3" a="1"/>
  <c r="B140" i="4" a="1"/>
  <c r="B503" i="3"/>
  <c r="B548" i="3"/>
  <c r="B129" i="4" a="1"/>
  <c r="B128" i="4" a="1"/>
  <c r="B134" i="4"/>
  <c r="B135" i="4"/>
  <c r="B136" i="4"/>
  <c r="B554" i="3"/>
  <c r="B142" i="4"/>
  <c r="B137" i="4"/>
  <c r="B127" i="4"/>
  <c r="B576" i="3"/>
  <c r="B141" i="4"/>
  <c r="B133" i="4"/>
  <c r="B556" i="3"/>
  <c r="B832" i="3" l="1"/>
  <c r="A894" i="3"/>
  <c r="A839" i="3"/>
  <c r="A896" i="3"/>
  <c r="A841" i="3"/>
  <c r="A907" i="3"/>
  <c r="A844" i="3"/>
  <c r="A909" i="3"/>
  <c r="A874" i="3"/>
  <c r="A912" i="3"/>
  <c r="A880" i="3"/>
  <c r="A944" i="3"/>
  <c r="A882" i="3"/>
  <c r="A884" i="3"/>
  <c r="A886" i="3"/>
  <c r="A888" i="3"/>
  <c r="A890" i="3"/>
  <c r="A892" i="3"/>
  <c r="B129" i="4"/>
  <c r="B140" i="4"/>
  <c r="B128" i="4"/>
  <c r="B146" i="4"/>
  <c r="B165" i="4"/>
  <c r="B160" i="4"/>
  <c r="B159" i="4"/>
  <c r="B538" i="3"/>
  <c r="B571" i="3"/>
  <c r="B508" i="3"/>
  <c r="B561" i="3"/>
  <c r="B501" i="3"/>
  <c r="B500" i="3"/>
  <c r="B610" i="3"/>
  <c r="B609" i="3"/>
  <c r="B562" i="3"/>
  <c r="A163" i="4"/>
  <c r="A162" i="4"/>
  <c r="A161" i="4"/>
  <c r="A164" i="4"/>
  <c r="A167" i="4"/>
  <c r="A153" i="4"/>
  <c r="A155" i="4"/>
  <c r="A154" i="4"/>
  <c r="A156" i="4"/>
  <c r="A150" i="4"/>
  <c r="A168" i="4"/>
  <c r="A151" i="4"/>
  <c r="A157" i="4"/>
  <c r="A148" i="4"/>
  <c r="A152" i="4"/>
  <c r="A158" i="4"/>
  <c r="A149" i="4"/>
  <c r="B158" i="4"/>
  <c r="B656" i="3"/>
  <c r="B664" i="3"/>
  <c r="B666" i="3"/>
  <c r="B650" i="3" a="1"/>
  <c r="B152" i="4"/>
  <c r="B662" i="3"/>
  <c r="B163" i="4"/>
  <c r="B660" i="3"/>
  <c r="B155" i="4"/>
  <c r="B944" i="3" a="1"/>
  <c r="B168" i="4"/>
  <c r="B150" i="4" a="1"/>
  <c r="B688" i="3"/>
  <c r="B615" i="3"/>
  <c r="B617" i="3"/>
  <c r="B157" i="4"/>
  <c r="B154" i="4"/>
  <c r="B672" i="3"/>
  <c r="B149" i="4" a="1"/>
  <c r="B148" i="4"/>
  <c r="B658" i="3"/>
  <c r="B151" i="4"/>
  <c r="B683" i="3" a="1"/>
  <c r="B162" i="4"/>
  <c r="B685" i="3"/>
  <c r="B670" i="3"/>
  <c r="B620" i="3" a="1"/>
  <c r="B161" i="4" a="1"/>
  <c r="B668" i="3"/>
  <c r="B156" i="4"/>
  <c r="B153" i="4"/>
  <c r="B944" i="3" l="1"/>
  <c r="B149" i="4"/>
  <c r="B150" i="4"/>
  <c r="B161" i="4"/>
  <c r="B186" i="4"/>
  <c r="B181" i="4"/>
  <c r="B180" i="4"/>
  <c r="B167" i="4"/>
  <c r="B650" i="3"/>
  <c r="B683" i="3"/>
  <c r="B620" i="3"/>
  <c r="B722" i="3"/>
  <c r="B721" i="3"/>
  <c r="B674" i="3"/>
  <c r="B673" i="3"/>
  <c r="B613" i="3"/>
  <c r="B612" i="3"/>
  <c r="A184" i="4"/>
  <c r="A183" i="4"/>
  <c r="A182" i="4"/>
  <c r="A185" i="4"/>
  <c r="A188" i="4"/>
  <c r="A174" i="4"/>
  <c r="A175" i="4"/>
  <c r="A171" i="4"/>
  <c r="A176" i="4"/>
  <c r="A189" i="4"/>
  <c r="A177" i="4"/>
  <c r="A169" i="4"/>
  <c r="A173" i="4"/>
  <c r="A179" i="4"/>
  <c r="A170" i="4"/>
  <c r="A172" i="4"/>
  <c r="A178" i="4"/>
  <c r="B174" i="4"/>
  <c r="B171" i="4" a="1"/>
  <c r="B774" i="3"/>
  <c r="B768" i="3"/>
  <c r="B172" i="4"/>
  <c r="B770" i="3"/>
  <c r="B732" i="3" a="1"/>
  <c r="B179" i="4"/>
  <c r="B178" i="4"/>
  <c r="B183" i="4"/>
  <c r="B795" i="3" a="1"/>
  <c r="B177" i="4"/>
  <c r="B176" i="4"/>
  <c r="B784" i="3"/>
  <c r="B173" i="4"/>
  <c r="B782" i="3"/>
  <c r="B729" i="3"/>
  <c r="B175" i="4"/>
  <c r="B170" i="4" a="1"/>
  <c r="B727" i="3"/>
  <c r="B797" i="3"/>
  <c r="B780" i="3"/>
  <c r="B776" i="3"/>
  <c r="B184" i="4"/>
  <c r="B772" i="3"/>
  <c r="B182" i="4" a="1"/>
  <c r="B800" i="3"/>
  <c r="B762" i="3" a="1"/>
  <c r="B778" i="3"/>
  <c r="B189" i="4"/>
  <c r="B169" i="4"/>
  <c r="B170" i="4" l="1"/>
  <c r="B182" i="4"/>
  <c r="B171" i="4"/>
  <c r="B201" i="4"/>
  <c r="B188" i="4"/>
  <c r="B202" i="4"/>
  <c r="B207" i="4"/>
  <c r="B795" i="3"/>
  <c r="B762" i="3"/>
  <c r="B732" i="3"/>
  <c r="B785" i="3"/>
  <c r="B725" i="3"/>
  <c r="B724" i="3"/>
  <c r="B834" i="3"/>
  <c r="B833" i="3"/>
  <c r="B786" i="3"/>
  <c r="A206" i="4"/>
  <c r="A205" i="4"/>
  <c r="A204" i="4"/>
  <c r="A203" i="4"/>
  <c r="A200" i="4"/>
  <c r="A197" i="4"/>
  <c r="A196" i="4"/>
  <c r="A192" i="4"/>
  <c r="A198" i="4"/>
  <c r="A195" i="4"/>
  <c r="A191" i="4"/>
  <c r="A193" i="4"/>
  <c r="A199" i="4"/>
  <c r="A190" i="4"/>
  <c r="A194" i="4"/>
  <c r="B194" i="4"/>
  <c r="B896" i="3"/>
  <c r="B894" i="3"/>
  <c r="B196" i="4"/>
  <c r="B199" i="4"/>
  <c r="B204" i="4"/>
  <c r="B190" i="4"/>
  <c r="B886" i="3"/>
  <c r="B839" i="3"/>
  <c r="B888" i="3"/>
  <c r="B892" i="3"/>
  <c r="B191" i="4" a="1"/>
  <c r="B884" i="3"/>
  <c r="B890" i="3"/>
  <c r="B880" i="3"/>
  <c r="B874" i="3" a="1"/>
  <c r="B192" i="4" a="1"/>
  <c r="B844" i="3" a="1"/>
  <c r="B907" i="3" a="1"/>
  <c r="B195" i="4"/>
  <c r="B200" i="4"/>
  <c r="B205" i="4"/>
  <c r="B198" i="4"/>
  <c r="B203" i="4" a="1"/>
  <c r="B912" i="3"/>
  <c r="B193" i="4"/>
  <c r="B197" i="4"/>
  <c r="B909" i="3"/>
  <c r="B882" i="3"/>
  <c r="B841" i="3"/>
  <c r="B203" i="4" l="1"/>
  <c r="B191" i="4"/>
  <c r="B192" i="4"/>
  <c r="B907" i="3"/>
  <c r="B874" i="3"/>
  <c r="B844" i="3"/>
  <c r="B946" i="3"/>
  <c r="B945" i="3"/>
  <c r="B898" i="3"/>
  <c r="B897" i="3"/>
  <c r="B837" i="3"/>
  <c r="B83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<sst xmlns="http://schemas.openxmlformats.org/spreadsheetml/2006/main" count="1143" uniqueCount="269">
  <si>
    <t>// **********************************************</t>
  </si>
  <si>
    <t>// &lt;e&gt; Enable MPU</t>
  </si>
  <si>
    <t>// &lt;i&gt; Value for MPU-&gt;CTRL register bit ENABLE</t>
  </si>
  <si>
    <t xml:space="preserve">//   &lt;q.2&gt; Privileged Default Access enable </t>
  </si>
  <si>
    <t>//   &lt;i&gt; Value for MPU-&gt;CTRL register bit PRIVDEFENA</t>
  </si>
  <si>
    <t>//   &lt;q.1&gt; MPU in Hard Fault and NMI enable</t>
  </si>
  <si>
    <t>//   &lt;i&gt; Value for MPU-&gt;CTRL register bit HFNMIENA</t>
  </si>
  <si>
    <t>//   &lt;i&gt; if set Memory Manage Faults are taken and might cause a Lockup State</t>
  </si>
  <si>
    <t>#define MPU_INIT_CTRL_BITS  (MPU_INIT_CTRL_PRIVDEFENA | MPU_INIT_CTRL_HFNMIENA)</t>
  </si>
  <si>
    <t>// &lt;/e&gt;   //Enable MPU</t>
  </si>
  <si>
    <t>//   &lt;q&gt; Enable MPU Region</t>
  </si>
  <si>
    <t>//   &lt;o&gt;Start Address &lt;0x0-0xFFFFFFE0:0x20&gt;</t>
  </si>
  <si>
    <t>//   &lt;i&gt; MPU regions may overlap and are to be aligned to their size</t>
  </si>
  <si>
    <t>//     &lt;o&gt;Region Size in bytes</t>
  </si>
  <si>
    <t>//          &lt;0x4=&gt; 32B</t>
  </si>
  <si>
    <t>//          &lt;0x5=&gt; 64B</t>
  </si>
  <si>
    <t>//          &lt;0x6=&gt;128B</t>
  </si>
  <si>
    <t>//          &lt;0x7=&gt;256B</t>
  </si>
  <si>
    <t>//          &lt;0x8=&gt;512B</t>
  </si>
  <si>
    <t>//          &lt;0x9=&gt;1KB</t>
  </si>
  <si>
    <t>//          &lt;0xA=&gt;2KB</t>
  </si>
  <si>
    <t>//          &lt;0xB=&gt;4KB</t>
  </si>
  <si>
    <t>//          &lt;0xC=&gt;8KB</t>
  </si>
  <si>
    <t>//          &lt;0xD=&gt;16KB</t>
  </si>
  <si>
    <t>//          &lt;0xE=&gt;32KB</t>
  </si>
  <si>
    <t>//          &lt;0xF=&gt;64KB</t>
  </si>
  <si>
    <t>//          &lt;0x10=&gt;128KB</t>
  </si>
  <si>
    <t>//          &lt;0x11=&gt;256KB</t>
  </si>
  <si>
    <t>//          &lt;0x12=&gt;512KB</t>
  </si>
  <si>
    <t>//          &lt;0x13=&gt;1MB</t>
  </si>
  <si>
    <t>//          &lt;0x14=&gt;2MB</t>
  </si>
  <si>
    <t>//          &lt;0x15=&gt;4MB</t>
  </si>
  <si>
    <t>//          &lt;0x16=&gt;8MB</t>
  </si>
  <si>
    <t>//          &lt;0x17=&gt;16MB</t>
  </si>
  <si>
    <t>//          &lt;0x18=&gt;32MB</t>
  </si>
  <si>
    <t>//          &lt;0x19=&gt;64MB</t>
  </si>
  <si>
    <t>//          &lt;0x1A=&gt;128MB</t>
  </si>
  <si>
    <t>//          &lt;0x1B=&gt;256MB</t>
  </si>
  <si>
    <t>//          &lt;0x1C=&gt;512MB</t>
  </si>
  <si>
    <t>//          &lt;0x1D=&gt;1GB</t>
  </si>
  <si>
    <t>//          &lt;0x1E=&gt;2GB</t>
  </si>
  <si>
    <t>//          &lt;0x1F=&gt;4GB</t>
  </si>
  <si>
    <t>// &lt;e&gt;Disable Subregions</t>
  </si>
  <si>
    <t>//   &lt;i&gt; Subreagins are automatically availabe if the region is &gt;= 256 bytes</t>
  </si>
  <si>
    <t>//   &lt;i&gt; Subreagins are equaly sized by region size / 8</t>
  </si>
  <si>
    <t>//   &lt;i&gt; Minimum size of a Subregion is 32 bytes</t>
  </si>
  <si>
    <t>//   &lt;i&gt; Subregion 0 has the lowest adress, Subregion 7 the highest within the region</t>
  </si>
  <si>
    <t>//   &lt;q.0&gt; Disable Subregion 0</t>
  </si>
  <si>
    <t>//   &lt;q.1&gt; Disable Subregion 1</t>
  </si>
  <si>
    <t>//   &lt;q.2&gt; Disable Subregion 2</t>
  </si>
  <si>
    <t>//   &lt;q.3&gt; Disable Subregion 3</t>
  </si>
  <si>
    <t>//   &lt;q.4&gt; Disable Subregion 4</t>
  </si>
  <si>
    <t>//   &lt;q.5&gt; Disable Subregion 5</t>
  </si>
  <si>
    <t>//   &lt;q.6&gt; Disable Subregion 6</t>
  </si>
  <si>
    <t>//   &lt;q.7&gt; Disable Subregion 7</t>
  </si>
  <si>
    <t>// &lt;/e&gt;  /* Disable Subregions */</t>
  </si>
  <si>
    <t>//     &lt;o&gt;Access Permissions     Privileged / Unpriviledged</t>
  </si>
  <si>
    <t>//         &lt;0=&gt;--/--</t>
  </si>
  <si>
    <t>//         &lt;1=&gt;RW/--</t>
  </si>
  <si>
    <t>//         &lt;2=&gt;RW/R-</t>
  </si>
  <si>
    <t>//         &lt;3=&gt;RW/RW</t>
  </si>
  <si>
    <t>//         &lt;4=&gt;R-/--</t>
  </si>
  <si>
    <t>//         &lt;6=&gt;R-/R-</t>
  </si>
  <si>
    <t>//   &lt;q&gt;Prohibit Instruction fetch</t>
  </si>
  <si>
    <t>//   &lt;i&gt; Please refere to the Sharability hint in the Memory Access Type list further down</t>
  </si>
  <si>
    <t>//   &lt;o&gt;Memory Access Type      TEX - Cacheable - Bufferable - (Shareability Hint)</t>
  </si>
  <si>
    <t>//         &lt;0x020000=&gt;000-1-0   DEFAULT: FLASH, Non-Sharable</t>
  </si>
  <si>
    <t>//         &lt;0x020000=&gt;000-1-0   DEFAULT: RAM INT, Sharable</t>
  </si>
  <si>
    <t>//         &lt;0x020000=&gt;000-1-1   DEFAULT: RAM EXT, Sharable</t>
  </si>
  <si>
    <t>//         &lt;0x010000=&gt;000-0-1   DEFAULT: PERIPHERAL, Sharable</t>
  </si>
  <si>
    <t>//         &lt;0x000000=&gt;000-0-0   Strongly ordered</t>
  </si>
  <si>
    <t>//         &lt;0x010000=&gt;000-0-1   Shared DEVICE, bufferable, Sharable</t>
  </si>
  <si>
    <t>//         &lt;0x100000=&gt;010-0-0   Non-Sharable DEVICE</t>
  </si>
  <si>
    <t>//         &lt;0x080000=&gt;001-0-0   Non-Cache</t>
  </si>
  <si>
    <t>//         &lt;0x020000=&gt;000-1-0   WT, RA, Outer+Inner write through,no write allocate</t>
  </si>
  <si>
    <t>//         &lt;0x030000=&gt;000-1-1   WB, RA, Outer+Inner write back,no write allocate</t>
  </si>
  <si>
    <t>//         &lt;0x0B0000=&gt;001-1-1   WB, RA+WA, Outer+Inner write-back, write+read allocate</t>
  </si>
  <si>
    <t>//         &lt;0x200000=&gt;100-0-0   Outer: Non-Cache,  Inner: Non-Cache</t>
  </si>
  <si>
    <t>//         &lt;0x220000=&gt;100-1-0   Outer: Non-Cache,  Inner: WT, RA</t>
  </si>
  <si>
    <t>//         &lt;0x230000=&gt;100-1-1   Outer: Non-Cache,  Inner: WB, RA</t>
  </si>
  <si>
    <t>//         &lt;0x210000=&gt;100-0-1   Outer: Non-Cache,  Inner: WB, RA+WA</t>
  </si>
  <si>
    <t>//         &lt;0x300000=&gt;110-0-0   Outer: WT, RA,          Inner: Non-Cache</t>
  </si>
  <si>
    <t>//         &lt;0x320000=&gt;110-1-0   Outer: WT, RA,          Inner: WT, RA</t>
  </si>
  <si>
    <t>//         &lt;0x330000=&gt;110-1-1   Outer: WT, RA,          Inner: WB, RA</t>
  </si>
  <si>
    <t>//         &lt;0x310000=&gt;110-0-1   Outer: WT, RA,          Inner: WB, RA+WA</t>
  </si>
  <si>
    <t>//         &lt;0x380000=&gt;111-0-0   Outer: WB, RA,          Inner: Non-Cache</t>
  </si>
  <si>
    <t>//         &lt;0x3A0000=&gt;111-1-0   Outer: WB, RA,          Inner: WT, RA</t>
  </si>
  <si>
    <t>//         &lt;0x3B0000=&gt;111-1-1   Outer: WB, RA,          Inner: WB, RA</t>
  </si>
  <si>
    <t>//         &lt;0x390000=&gt;111-0-1   Outer: WB, RA,          Inner: WB, RA+WA</t>
  </si>
  <si>
    <t>//         &lt;0x280000=&gt;101-0-0   Outer: WB, RA+WA, Inner: Non-Cache</t>
  </si>
  <si>
    <t>//         &lt;0x2A0000=&gt;101-1-0   Outer: WB, RA+WA, Inner: WT, RA</t>
  </si>
  <si>
    <t>//         &lt;0x2B0000=&gt;101-1-1   Outer: WB, RA+WA, Inner: WB, RA</t>
  </si>
  <si>
    <t>//         &lt;0x290000=&gt;101-0-1   Outer: WB, RA+WA, Inner: WB, RA+WA</t>
  </si>
  <si>
    <t>//   &lt;i&gt; The first 4 entries in the list are the most commonly used standard types</t>
  </si>
  <si>
    <t>//   &lt;i&gt; and  are based on arm recommendations for the depicted memory type</t>
  </si>
  <si>
    <t>//   &lt;i&gt; Shareability is a separate bit and is included here as hint only</t>
  </si>
  <si>
    <t>Enable MPU</t>
  </si>
  <si>
    <t>MPU Configuration</t>
  </si>
  <si>
    <t xml:space="preserve">      Enable Privileged Default Access</t>
  </si>
  <si>
    <t xml:space="preserve">      Enable MPU in Hard Fault and NMI</t>
  </si>
  <si>
    <t>128 Byte</t>
  </si>
  <si>
    <t>256 Byte</t>
  </si>
  <si>
    <t>512 Byte</t>
  </si>
  <si>
    <t xml:space="preserve">    1 KB</t>
  </si>
  <si>
    <t xml:space="preserve">    2 KB</t>
  </si>
  <si>
    <t xml:space="preserve">    4 KB</t>
  </si>
  <si>
    <t xml:space="preserve">    8 KB</t>
  </si>
  <si>
    <t xml:space="preserve">  16 KB</t>
  </si>
  <si>
    <t xml:space="preserve">  64 KB</t>
  </si>
  <si>
    <t xml:space="preserve">  32 KB</t>
  </si>
  <si>
    <t xml:space="preserve">  64 Byte</t>
  </si>
  <si>
    <t xml:space="preserve">  32 Byte</t>
  </si>
  <si>
    <t>512 KB</t>
  </si>
  <si>
    <t>256 KB</t>
  </si>
  <si>
    <t>128 KB</t>
  </si>
  <si>
    <t xml:space="preserve">    1 MB</t>
  </si>
  <si>
    <t xml:space="preserve">    2 MB</t>
  </si>
  <si>
    <t xml:space="preserve">    4 MB</t>
  </si>
  <si>
    <t xml:space="preserve">    8 MB</t>
  </si>
  <si>
    <t xml:space="preserve">  16 MB</t>
  </si>
  <si>
    <t xml:space="preserve">  32 MB</t>
  </si>
  <si>
    <t xml:space="preserve">  64 MB</t>
  </si>
  <si>
    <t>128 MB</t>
  </si>
  <si>
    <t>256 MB</t>
  </si>
  <si>
    <t>512 MB</t>
  </si>
  <si>
    <t xml:space="preserve">    1 GB</t>
  </si>
  <si>
    <t xml:space="preserve">    2 GB</t>
  </si>
  <si>
    <t xml:space="preserve">    4 GB</t>
  </si>
  <si>
    <t>--/--</t>
  </si>
  <si>
    <t>RW/--</t>
  </si>
  <si>
    <t>RW/R-</t>
  </si>
  <si>
    <t>RW/RW</t>
  </si>
  <si>
    <t>R-/--</t>
  </si>
  <si>
    <t>R-/R-</t>
  </si>
  <si>
    <t xml:space="preserve">      Access Permissions     Priv / Unpriv</t>
  </si>
  <si>
    <t xml:space="preserve">      Prohibit Instruction fetch</t>
  </si>
  <si>
    <t xml:space="preserve">      Sharability</t>
  </si>
  <si>
    <t xml:space="preserve">      Access Type      TEX - Cache - Buf</t>
  </si>
  <si>
    <t>000-1-0   DEFAULT: FLASH, Non-Sharable</t>
  </si>
  <si>
    <t>000-1-0   DEFAULT: RAM INT, Sharable</t>
  </si>
  <si>
    <t>000-1-1   DEFAULT: RAM EXT, Sharable</t>
  </si>
  <si>
    <t>000-0-1   DEFAULT: PERIPHERAL, Sharable</t>
  </si>
  <si>
    <t>000-0-0   Strongly ordered</t>
  </si>
  <si>
    <t>000-0-1   Shared DEVICE, bufferable, Sharable</t>
  </si>
  <si>
    <t>010-0-0   Non-Sharable DEVICE</t>
  </si>
  <si>
    <t>001-0-0   Non-Cache</t>
  </si>
  <si>
    <t>000-1-0   WT, RA, Outer+Inner write through,no write allocate</t>
  </si>
  <si>
    <t>000-1-1   WB, RA, Outer+Inner write back,no write allocate</t>
  </si>
  <si>
    <t>001-1-1   WB, RA+WA, Outer+Inner write-back, write+read allocate</t>
  </si>
  <si>
    <t>100-0-0   Outer: Non-Cache,  Inner: Non-Cache</t>
  </si>
  <si>
    <t>100-1-0   Outer: Non-Cache,  Inner: WT, RA</t>
  </si>
  <si>
    <t>100-1-1   Outer: Non-Cache,  Inner: WB, RA</t>
  </si>
  <si>
    <t>100-0-1   Outer: Non-Cache,  Inner: WB, RA+WA</t>
  </si>
  <si>
    <t>110-0-0   Outer: WT, RA,          Inner: Non-Cache</t>
  </si>
  <si>
    <t>110-1-0   Outer: WT, RA,          Inner: WT, RA</t>
  </si>
  <si>
    <t>110-1-1   Outer: WT, RA,          Inner: WB, RA</t>
  </si>
  <si>
    <t>110-0-1   Outer: WT, RA,          Inner: WB, RA+WA</t>
  </si>
  <si>
    <t>111-0-0   Outer: WB, RA,          Inner: Non-Cache</t>
  </si>
  <si>
    <t>111-1-0   Outer: WB, RA,          Inner: WT, RA</t>
  </si>
  <si>
    <t>111-1-1   Outer: WB, RA,          Inner: WB, RA</t>
  </si>
  <si>
    <t>111-0-1   Outer: WB, RA,          Inner: WB, RA+WA</t>
  </si>
  <si>
    <t>101-0-0   Outer: WB, RA+WA, Inner: Non-Cache</t>
  </si>
  <si>
    <t>101-1-0   Outer: WB, RA+WA, Inner: WT, RA</t>
  </si>
  <si>
    <t>101-1-1   Outer: WB, RA+WA, Inner: WB, RA</t>
  </si>
  <si>
    <t>101-0-1   Outer: WB, RA+WA, Inner: WB, RA+WA</t>
  </si>
  <si>
    <t xml:space="preserve">      Enable Region</t>
  </si>
  <si>
    <t xml:space="preserve">      Start Address of Region</t>
  </si>
  <si>
    <t xml:space="preserve">      Size of Region</t>
  </si>
  <si>
    <t xml:space="preserve">      Disable Subregions </t>
  </si>
  <si>
    <t xml:space="preserve">      Disable Subregions</t>
  </si>
  <si>
    <t>/**************************************************************************//**</t>
  </si>
  <si>
    <t xml:space="preserve"> * @brief    MPU Static Setup for armv7-M</t>
  </si>
  <si>
    <t xml:space="preserve"> * @author   Remo Markgraf</t>
  </si>
  <si>
    <t xml:space="preserve"> * Copyright (C) 2025 Remo Markgraf info@tnms.de</t>
  </si>
  <si>
    <t xml:space="preserve"> ******************************************************************************/</t>
  </si>
  <si>
    <t>#ifndef MPU_CONFIG_ARMV7_H</t>
  </si>
  <si>
    <t>#define MPU_CONFIG_ARMV7_H</t>
  </si>
  <si>
    <t>#include "cmsis_version.h"</t>
  </si>
  <si>
    <t>#if defined(__CM_CMSIS_VERSION_MAIN) &amp;&amp; __CM_CMSIS_VERSION_MAIN &gt;= 6</t>
  </si>
  <si>
    <t>#include "m-profile/armv7m_mpu.h"</t>
  </si>
  <si>
    <t>#else</t>
  </si>
  <si>
    <t>#include "mpu_armv7.h"</t>
  </si>
  <si>
    <t>#endif</t>
  </si>
  <si>
    <t>/*</t>
  </si>
  <si>
    <t>//-------- &lt;&lt;&lt; Use Configuration Wizard in Context Menu &gt;&gt;&gt; -----------------</t>
  </si>
  <si>
    <t>*/</t>
  </si>
  <si>
    <t>//   &lt;i&gt; Setup Region memory attributes</t>
  </si>
  <si>
    <t xml:space="preserve">         Disable Subregion 6</t>
  </si>
  <si>
    <t xml:space="preserve">         Disable Subregion 0</t>
  </si>
  <si>
    <t xml:space="preserve">         Disable Subregion 1</t>
  </si>
  <si>
    <t xml:space="preserve">         Disable Subregion 2</t>
  </si>
  <si>
    <t xml:space="preserve">         Disable Subregion 3</t>
  </si>
  <si>
    <t xml:space="preserve">         Disable Subregion 4</t>
  </si>
  <si>
    <t xml:space="preserve">         Disable Subregion 5</t>
  </si>
  <si>
    <t xml:space="preserve">         Disable Subregion 7</t>
  </si>
  <si>
    <t xml:space="preserve">    MPU-&gt;RNR  =  (num &amp; MPU_RNR_REGION_Msk);\</t>
  </si>
  <si>
    <t>{</t>
  </si>
  <si>
    <t>#if defined(__MPU_PRESENT) &amp;&amp; (__MPU_PRESENT == 1U)</t>
  </si>
  <si>
    <t xml:space="preserve">  #endif</t>
  </si>
  <si>
    <t xml:space="preserve">  #if defined (MPU_INIT_CTRL_ENABLE) &amp;&amp; (MPU_INIT_CTRL_ENABLE== 1U)</t>
  </si>
  <si>
    <t xml:space="preserve">    ARM_MPU_Enable( MPU_INIT_CTRL_BITS );</t>
  </si>
  <si>
    <t xml:space="preserve">  #endif </t>
  </si>
  <si>
    <t>#endif //__MPU_PRESENT</t>
  </si>
  <si>
    <t>#endif  //MPU_CONFIG_ARMV7_H</t>
  </si>
  <si>
    <t>#define MPU_CONFIG_REGION(num)\</t>
  </si>
  <si>
    <t>//brief   MPU_Config</t>
  </si>
  <si>
    <t xml:space="preserve">    MPU_CONFIG_REGION(0);</t>
  </si>
  <si>
    <t xml:space="preserve">    MPU_CONFIG_REGION(1);</t>
  </si>
  <si>
    <t xml:space="preserve">    MPU_CONFIG_REGION(2);</t>
  </si>
  <si>
    <t xml:space="preserve">    MPU_CONFIG_REGION(3);</t>
  </si>
  <si>
    <t xml:space="preserve">    MPU_CONFIG_REGION(4);</t>
  </si>
  <si>
    <t xml:space="preserve">    MPU_CONFIG_REGION(5);</t>
  </si>
  <si>
    <t xml:space="preserve">    MPU_CONFIG_REGION(6);</t>
  </si>
  <si>
    <t xml:space="preserve">    MPU_CONFIG_REGION(7);</t>
  </si>
  <si>
    <t xml:space="preserve"> * @brief    MPU Static Setup for armv7-M including Keil Configuration Wizard</t>
  </si>
  <si>
    <t>//         &lt;0x123456=&gt;XXX-X-X   TEST LOWER BOUND</t>
  </si>
  <si>
    <t>//         &lt;0x654321=&gt;XXX-X-X   TEST UPPER BOUND</t>
  </si>
  <si>
    <t>// MPU CONFIG</t>
  </si>
  <si>
    <t>// MPU Global ********************************</t>
  </si>
  <si>
    <t xml:space="preserve">  7   6   5   4   3   2   1   0</t>
  </si>
  <si>
    <t xml:space="preserve"> Copyright (C) 2025 Remo Markgraf</t>
  </si>
  <si>
    <t>www.tnms.de</t>
  </si>
  <si>
    <t xml:space="preserve">    MPU-&gt;RBAR =  ARM_MPU_RBAR(num,BASE_REG##num);\</t>
  </si>
  <si>
    <t xml:space="preserve">  #if defined (CONFIG_REG0) &amp;&amp; (CONFIG_REG0 == 1U)</t>
  </si>
  <si>
    <t xml:space="preserve">  #if defined (CONFIG_REG1) &amp;&amp; (CONFIG_REG1 == 1U)</t>
  </si>
  <si>
    <t xml:space="preserve">  #if defined (CONFIG_REG2) &amp;&amp; (CONFIG_REG2 == 1U)</t>
  </si>
  <si>
    <t xml:space="preserve">  #if defined (CONFIG_REG3) &amp;&amp; (CONFIG_REG3 == 1U)</t>
  </si>
  <si>
    <t xml:space="preserve">  #if defined (CONFIG_REG4) &amp;&amp; (CONFIG_REG4 == 1U)</t>
  </si>
  <si>
    <t xml:space="preserve">  #if defined (CONFIG_REG5) &amp;&amp; (CONFIG_REG5 == 1U)</t>
  </si>
  <si>
    <t xml:space="preserve">  #if defined (CONFIG_REG6) &amp;&amp; (CONFIG_REG6 == 1U)</t>
  </si>
  <si>
    <t xml:space="preserve">  #if defined (CONFIG_REG7) &amp;&amp; (CONFIG_REG7 == 1U)</t>
  </si>
  <si>
    <t xml:space="preserve">    MPU-&gt;RASR =  (ARM_MPU_RASR_EX(XN_REG##num, PERM_REG##num, TEXSCB_REG##num,\</t>
  </si>
  <si>
    <t>//brief   MPU_Init</t>
  </si>
  <si>
    <t>static inline void MPU_Init(void)</t>
  </si>
  <si>
    <t>}   //MPU_Init (void)</t>
  </si>
  <si>
    <t>//details Writes region defines into MPU registers RNR, RBAR and RASR</t>
  </si>
  <si>
    <t>// MPU _CONFIG Macro and MPU_Init() Function</t>
  </si>
  <si>
    <t>00000000</t>
  </si>
  <si>
    <t>MPU Region 2</t>
  </si>
  <si>
    <t>MPU Region 1</t>
  </si>
  <si>
    <t>MPU Region 0</t>
  </si>
  <si>
    <t>MPU Region 3</t>
  </si>
  <si>
    <t>MPU Region 4</t>
  </si>
  <si>
    <t>MPU Region 5</t>
  </si>
  <si>
    <t>MPU Region 6</t>
  </si>
  <si>
    <t>MPU Region 7</t>
  </si>
  <si>
    <t>Size</t>
  </si>
  <si>
    <t>Limit</t>
  </si>
  <si>
    <t>Base</t>
  </si>
  <si>
    <t xml:space="preserve">   7   6   5   4   3   2   1   0</t>
  </si>
  <si>
    <t xml:space="preserve"> * @file     armv7m_mpu_config.h</t>
  </si>
  <si>
    <t xml:space="preserve"> V1.0
       3rd of March 2025</t>
  </si>
  <si>
    <t xml:space="preserve"> * @version  V1.0</t>
  </si>
  <si>
    <t xml:space="preserve"> * @date     3rd of March 2025</t>
  </si>
  <si>
    <t xml:space="preserve">                  SRD_REG##num, SIZE_REG##num) &amp; ~((ENABLE_REG##num)?0:MPU_RASR_ENABLE_Msk))</t>
  </si>
  <si>
    <t>#ifdef __cplusplus</t>
  </si>
  <si>
    <t>extern "C" {</t>
  </si>
  <si>
    <t>} // extern "C"</t>
  </si>
  <si>
    <t>20000000</t>
  </si>
  <si>
    <t>//   &lt;q&gt;Shareable</t>
  </si>
  <si>
    <t xml:space="preserve"> * Copyright (C) 2025 Remo Markgraf info@tnms.de All rights reserved.</t>
  </si>
  <si>
    <t xml:space="preserve"> * @warning</t>
  </si>
  <si>
    <t xml:space="preserve"> * THE SOFTWARE IS PROVIDED "AS IS", WITHOUT WARRANTY OF ANY KIND, EXPRESS,</t>
  </si>
  <si>
    <t xml:space="preserve"> * IMPLIED OR STATUTORY, INCLUDING, BUT NOT LIMITED TO, THE WARRANTIES OF</t>
  </si>
  <si>
    <t xml:space="preserve"> * MERCHANTABILITY, FITNESS FOR A PARTICULAR PURPOSE AND NONINFRINGEMENT TO</t>
  </si>
  <si>
    <t xml:space="preserve"> * THIS SOFTWARE. IN NO EVENT SHALL THE AUTHOR BE LIABLE FOR ANY CLAIM,</t>
  </si>
  <si>
    <t xml:space="preserve"> * DAMAGES OR OTHER LIABILITY, WHETHER IN AN ACTION OF CONTRACT, TORT OR</t>
  </si>
  <si>
    <t xml:space="preserve"> * OTHERWISE, ARISING FROM, OUT OF OR IN CONNECTION WITH THE SOFTWARE OR THE</t>
  </si>
  <si>
    <t xml:space="preserve"> * USE OR OTHER DEALINGS IN THE SOFTWARE.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</si>
</sst>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&quot;0x&quot;@"/>
    <numFmt numFmtId="165" formatCode="&quot;0x&quot;00000000"/>
    <numFmt numFmtId="166" formatCode="00000000"/>
    <numFmt numFmtId="167" formatCode="\'00000000"/>
  </numFmts>
  <fonts count="12" x14ac:knownFonts="1">
    <font>
      <sz val="11"/>
      <color theme="1"/>
      <name val="Aptos Narrow"/>
      <family val="2"/>
      <scheme val="minor"/>
    </font>
    <font>
      <sz val="8"/>
      <color rgb="FF000000"/>
      <name val="Segoe U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quotePrefix="1"/>
    <xf numFmtId="0" fontId="0" fillId="2" borderId="0" xfId="0" applyFill="1"/>
    <xf numFmtId="0" fontId="4" fillId="3" borderId="0" xfId="0" applyFont="1" applyFill="1"/>
    <xf numFmtId="0" fontId="5" fillId="0" borderId="0" xfId="1" applyFill="1"/>
    <xf numFmtId="0" fontId="0" fillId="0" borderId="0" xfId="0" applyProtection="1">
      <protection locked="0" hidden="1"/>
    </xf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4" borderId="6" xfId="0" applyFill="1" applyBorder="1"/>
    <xf numFmtId="165" fontId="6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/>
    </xf>
    <xf numFmtId="165" fontId="0" fillId="0" borderId="0" xfId="2" applyNumberFormat="1" applyFont="1" applyProtection="1">
      <protection locked="0" hidden="1"/>
    </xf>
    <xf numFmtId="165" fontId="9" fillId="0" borderId="0" xfId="0" applyNumberFormat="1" applyFont="1" applyAlignment="1">
      <alignment horizontal="left"/>
    </xf>
    <xf numFmtId="166" fontId="9" fillId="0" borderId="0" xfId="0" applyNumberFormat="1" applyFont="1" applyAlignment="1">
      <alignment horizontal="left"/>
    </xf>
    <xf numFmtId="167" fontId="9" fillId="0" borderId="0" xfId="2" applyNumberFormat="1" applyFont="1" applyAlignment="1" applyProtection="1">
      <alignment horizontal="left"/>
    </xf>
    <xf numFmtId="164" fontId="10" fillId="0" borderId="3" xfId="0" applyNumberFormat="1" applyFont="1" applyBorder="1" applyProtection="1">
      <protection locked="0"/>
    </xf>
    <xf numFmtId="164" fontId="10" fillId="0" borderId="3" xfId="0" applyNumberFormat="1" applyFont="1" applyBorder="1"/>
    <xf numFmtId="164" fontId="0" fillId="0" borderId="3" xfId="0" applyNumberFormat="1" applyBorder="1" applyAlignment="1">
      <alignment horizontal="right"/>
    </xf>
    <xf numFmtId="0" fontId="0" fillId="3" borderId="0" xfId="0" applyFill="1" applyAlignment="1">
      <alignment horizontal="right" vertical="center" wrapText="1"/>
    </xf>
    <xf numFmtId="165" fontId="0" fillId="0" borderId="0" xfId="0" applyNumberFormat="1"/>
    <xf numFmtId="0" fontId="11" fillId="0" borderId="0" xfId="0" applyFont="1" applyProtection="1">
      <protection locked="0"/>
    </xf>
    <xf numFmtId="0" fontId="0" fillId="0" borderId="0" xfId="0" applyProtection="1">
      <protection locked="0"/>
    </xf>
  </cellXfs>
  <cellStyles count="3">
    <cellStyle name="Komma" xfId="2" builtinId="3"/>
    <cellStyle name="Link" xfId="1" builtinId="8"/>
    <cellStyle name="Standard" xfId="0" builtinId="0"/>
  </cellStyles>
  <dxfs count="34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$3" lockText="1" noThreeD="1"/>
</file>

<file path=xl/ctrlProps/ctrlProp10.xml><?xml version="1.0" encoding="utf-8"?>
<formControlPr xmlns="http://schemas.microsoft.com/office/spreadsheetml/2009/9/main" objectType="CheckBox" fmlaLink="$A$16" lockText="1" noThreeD="1"/>
</file>

<file path=xl/ctrlProps/ctrlProp100.xml><?xml version="1.0" encoding="utf-8"?>
<formControlPr xmlns="http://schemas.microsoft.com/office/spreadsheetml/2009/9/main" objectType="CheckBox" fmlaLink="$A$129" lockText="1" noThreeD="1"/>
</file>

<file path=xl/ctrlProps/ctrlProp101.xml><?xml version="1.0" encoding="utf-8"?>
<formControlPr xmlns="http://schemas.microsoft.com/office/spreadsheetml/2009/9/main" objectType="CheckBox" fmlaLink="$A$130" lockText="1" noThreeD="1"/>
</file>

<file path=xl/ctrlProps/ctrlProp102.xml><?xml version="1.0" encoding="utf-8"?>
<formControlPr xmlns="http://schemas.microsoft.com/office/spreadsheetml/2009/9/main" objectType="CheckBox" fmlaLink="$A$131" lockText="1" noThreeD="1"/>
</file>

<file path=xl/ctrlProps/ctrlProp103.xml><?xml version="1.0" encoding="utf-8"?>
<formControlPr xmlns="http://schemas.microsoft.com/office/spreadsheetml/2009/9/main" objectType="CheckBox" fmlaLink="$A$132" lockText="1" noThreeD="1"/>
</file>

<file path=xl/ctrlProps/ctrlProp104.xml><?xml version="1.0" encoding="utf-8"?>
<formControlPr xmlns="http://schemas.microsoft.com/office/spreadsheetml/2009/9/main" objectType="CheckBox" fmlaLink="$A$133" lockText="1" noThreeD="1"/>
</file>

<file path=xl/ctrlProps/ctrlProp105.xml><?xml version="1.0" encoding="utf-8"?>
<formControlPr xmlns="http://schemas.microsoft.com/office/spreadsheetml/2009/9/main" objectType="CheckBox" fmlaLink="$A$134" lockText="1" noThreeD="1"/>
</file>

<file path=xl/ctrlProps/ctrlProp106.xml><?xml version="1.0" encoding="utf-8"?>
<formControlPr xmlns="http://schemas.microsoft.com/office/spreadsheetml/2009/9/main" objectType="Drop" dropLines="6" dropStyle="combo" dx="22" fmlaLink="$A$135" fmlaRange="$B$187:$B$192" noThreeD="1" sel="1" val="0"/>
</file>

<file path=xl/ctrlProps/ctrlProp107.xml><?xml version="1.0" encoding="utf-8"?>
<formControlPr xmlns="http://schemas.microsoft.com/office/spreadsheetml/2009/9/main" objectType="CheckBox" fmlaLink="$A$136" lockText="1" noThreeD="1"/>
</file>

<file path=xl/ctrlProps/ctrlProp108.xml><?xml version="1.0" encoding="utf-8"?>
<formControlPr xmlns="http://schemas.microsoft.com/office/spreadsheetml/2009/9/main" objectType="CheckBox" checked="Checked" fmlaLink="$A$137" lockText="1" noThreeD="1"/>
</file>

<file path=xl/ctrlProps/ctrlProp109.xml><?xml version="1.0" encoding="utf-8"?>
<formControlPr xmlns="http://schemas.microsoft.com/office/spreadsheetml/2009/9/main" objectType="Drop" dropLines="20" dropStyle="combo" dx="22" fmlaLink="$A$138" fmlaRange="$B$193:$B$219" noThreeD="1" sel="1" val="0"/>
</file>

<file path=xl/ctrlProps/ctrlProp11.xml><?xml version="1.0" encoding="utf-8"?>
<formControlPr xmlns="http://schemas.microsoft.com/office/spreadsheetml/2009/9/main" objectType="CheckBox" fmlaLink="$A$17" lockText="1" noThreeD="1"/>
</file>

<file path=xl/ctrlProps/ctrlProp110.xml><?xml version="1.0" encoding="utf-8"?>
<formControlPr xmlns="http://schemas.microsoft.com/office/spreadsheetml/2009/9/main" objectType="CheckBox" fmlaLink="$A$140" lockText="1" noThreeD="1"/>
</file>

<file path=xl/ctrlProps/ctrlProp111.xml><?xml version="1.0" encoding="utf-8"?>
<formControlPr xmlns="http://schemas.microsoft.com/office/spreadsheetml/2009/9/main" objectType="CheckBox" checked="Checked" fmlaLink="$A$141" lockText="1" noThreeD="1"/>
</file>

<file path=xl/ctrlProps/ctrlProp112.xml><?xml version="1.0" encoding="utf-8"?>
<formControlPr xmlns="http://schemas.microsoft.com/office/spreadsheetml/2009/9/main" objectType="Drop" dropStyle="combo" dx="22" fmlaLink="$A$143" fmlaRange="$B$159:$B$186" noThreeD="1" sel="1" val="0"/>
</file>

<file path=xl/ctrlProps/ctrlProp113.xml><?xml version="1.0" encoding="utf-8"?>
<formControlPr xmlns="http://schemas.microsoft.com/office/spreadsheetml/2009/9/main" objectType="CheckBox" fmlaLink="$A$146" lockText="1" noThreeD="1"/>
</file>

<file path=xl/ctrlProps/ctrlProp114.xml><?xml version="1.0" encoding="utf-8"?>
<formControlPr xmlns="http://schemas.microsoft.com/office/spreadsheetml/2009/9/main" objectType="CheckBox" fmlaLink="$A$147" lockText="1" noThreeD="1"/>
</file>

<file path=xl/ctrlProps/ctrlProp115.xml><?xml version="1.0" encoding="utf-8"?>
<formControlPr xmlns="http://schemas.microsoft.com/office/spreadsheetml/2009/9/main" objectType="CheckBox" fmlaLink="$A$148" lockText="1" noThreeD="1"/>
</file>

<file path=xl/ctrlProps/ctrlProp116.xml><?xml version="1.0" encoding="utf-8"?>
<formControlPr xmlns="http://schemas.microsoft.com/office/spreadsheetml/2009/9/main" objectType="CheckBox" fmlaLink="$A$149" lockText="1" noThreeD="1"/>
</file>

<file path=xl/ctrlProps/ctrlProp117.xml><?xml version="1.0" encoding="utf-8"?>
<formControlPr xmlns="http://schemas.microsoft.com/office/spreadsheetml/2009/9/main" objectType="CheckBox" fmlaLink="$A$150" lockText="1" noThreeD="1"/>
</file>

<file path=xl/ctrlProps/ctrlProp118.xml><?xml version="1.0" encoding="utf-8"?>
<formControlPr xmlns="http://schemas.microsoft.com/office/spreadsheetml/2009/9/main" objectType="CheckBox" fmlaLink="$A$151" lockText="1" noThreeD="1"/>
</file>

<file path=xl/ctrlProps/ctrlProp119.xml><?xml version="1.0" encoding="utf-8"?>
<formControlPr xmlns="http://schemas.microsoft.com/office/spreadsheetml/2009/9/main" objectType="CheckBox" fmlaLink="$A$152" lockText="1" noThreeD="1"/>
</file>

<file path=xl/ctrlProps/ctrlProp12.xml><?xml version="1.0" encoding="utf-8"?>
<formControlPr xmlns="http://schemas.microsoft.com/office/spreadsheetml/2009/9/main" objectType="CheckBox" checked="Checked" fmlaLink="$A$18" lockText="1" noThreeD="1"/>
</file>

<file path=xl/ctrlProps/ctrlProp120.xml><?xml version="1.0" encoding="utf-8"?>
<formControlPr xmlns="http://schemas.microsoft.com/office/spreadsheetml/2009/9/main" objectType="CheckBox" fmlaLink="$A$153" lockText="1" noThreeD="1"/>
</file>

<file path=xl/ctrlProps/ctrlProp121.xml><?xml version="1.0" encoding="utf-8"?>
<formControlPr xmlns="http://schemas.microsoft.com/office/spreadsheetml/2009/9/main" objectType="Drop" dropLines="6" dropStyle="combo" dx="22" fmlaLink="$A$154" fmlaRange="$B$187:$B$192" noThreeD="1" sel="1" val="0"/>
</file>

<file path=xl/ctrlProps/ctrlProp122.xml><?xml version="1.0" encoding="utf-8"?>
<formControlPr xmlns="http://schemas.microsoft.com/office/spreadsheetml/2009/9/main" objectType="CheckBox" fmlaLink="$A$155" lockText="1" noThreeD="1"/>
</file>

<file path=xl/ctrlProps/ctrlProp123.xml><?xml version="1.0" encoding="utf-8"?>
<formControlPr xmlns="http://schemas.microsoft.com/office/spreadsheetml/2009/9/main" objectType="CheckBox" checked="Checked" fmlaLink="$A$156" lockText="1" noThreeD="1"/>
</file>

<file path=xl/ctrlProps/ctrlProp124.xml><?xml version="1.0" encoding="utf-8"?>
<formControlPr xmlns="http://schemas.microsoft.com/office/spreadsheetml/2009/9/main" objectType="Drop" dropLines="20" dropStyle="combo" dx="22" fmlaLink="$A$157" fmlaRange="$B$193:$B$219" noThreeD="1" sel="1" val="0"/>
</file>

<file path=xl/ctrlProps/ctrlProp13.xml><?xml version="1.0" encoding="utf-8"?>
<formControlPr xmlns="http://schemas.microsoft.com/office/spreadsheetml/2009/9/main" objectType="CheckBox" fmlaLink="$A$19" lockText="1" noThreeD="1"/>
</file>

<file path=xl/ctrlProps/ctrlProp14.xml><?xml version="1.0" encoding="utf-8"?>
<formControlPr xmlns="http://schemas.microsoft.com/office/spreadsheetml/2009/9/main" objectType="CheckBox" fmlaLink="$A$20" lockText="1" noThreeD="1"/>
</file>

<file path=xl/ctrlProps/ctrlProp15.xml><?xml version="1.0" encoding="utf-8"?>
<formControlPr xmlns="http://schemas.microsoft.com/office/spreadsheetml/2009/9/main" objectType="Drop" dropLines="6" dropStyle="combo" dx="22" fmlaLink="$A$21" fmlaRange="$B$187:$B$192" noThreeD="1" sel="3" val="0"/>
</file>

<file path=xl/ctrlProps/ctrlProp16.xml><?xml version="1.0" encoding="utf-8"?>
<formControlPr xmlns="http://schemas.microsoft.com/office/spreadsheetml/2009/9/main" objectType="CheckBox" checked="Checked" fmlaLink="$A$22" lockText="1" noThreeD="1"/>
</file>

<file path=xl/ctrlProps/ctrlProp17.xml><?xml version="1.0" encoding="utf-8"?>
<formControlPr xmlns="http://schemas.microsoft.com/office/spreadsheetml/2009/9/main" objectType="CheckBox" checked="Checked" fmlaLink="$A$23" lockText="1" noThreeD="1"/>
</file>

<file path=xl/ctrlProps/ctrlProp18.xml><?xml version="1.0" encoding="utf-8"?>
<formControlPr xmlns="http://schemas.microsoft.com/office/spreadsheetml/2009/9/main" objectType="Drop" dropLines="20" dropStyle="combo" dx="22" fmlaLink="$A$24" fmlaRange="$B$193:$B$219" noThreeD="1" sel="1" val="0"/>
</file>

<file path=xl/ctrlProps/ctrlProp19.xml><?xml version="1.0" encoding="utf-8"?>
<formControlPr xmlns="http://schemas.microsoft.com/office/spreadsheetml/2009/9/main" objectType="CheckBox" fmlaLink="$A$26" lockText="1" noThreeD="1"/>
</file>

<file path=xl/ctrlProps/ctrlProp2.xml><?xml version="1.0" encoding="utf-8"?>
<formControlPr xmlns="http://schemas.microsoft.com/office/spreadsheetml/2009/9/main" objectType="CheckBox" checked="Checked" fmlaLink="$A$4" lockText="1" noThreeD="1"/>
</file>

<file path=xl/ctrlProps/ctrlProp20.xml><?xml version="1.0" encoding="utf-8"?>
<formControlPr xmlns="http://schemas.microsoft.com/office/spreadsheetml/2009/9/main" objectType="CheckBox" checked="Checked" fmlaLink="$A$27" lockText="1" noThreeD="1"/>
</file>

<file path=xl/ctrlProps/ctrlProp21.xml><?xml version="1.0" encoding="utf-8"?>
<formControlPr xmlns="http://schemas.microsoft.com/office/spreadsheetml/2009/9/main" objectType="Drop" dropStyle="combo" dx="22" fmlaLink="$A$29" fmlaRange="$B$159:$B$186" noThreeD="1" sel="1" val="0"/>
</file>

<file path=xl/ctrlProps/ctrlProp22.xml><?xml version="1.0" encoding="utf-8"?>
<formControlPr xmlns="http://schemas.microsoft.com/office/spreadsheetml/2009/9/main" objectType="CheckBox" fmlaLink="$A$32" lockText="1" noThreeD="1"/>
</file>

<file path=xl/ctrlProps/ctrlProp23.xml><?xml version="1.0" encoding="utf-8"?>
<formControlPr xmlns="http://schemas.microsoft.com/office/spreadsheetml/2009/9/main" objectType="CheckBox" fmlaLink="$A$33" lockText="1" noThreeD="1"/>
</file>

<file path=xl/ctrlProps/ctrlProp24.xml><?xml version="1.0" encoding="utf-8"?>
<formControlPr xmlns="http://schemas.microsoft.com/office/spreadsheetml/2009/9/main" objectType="CheckBox" fmlaLink="$A$34" lockText="1" noThreeD="1"/>
</file>

<file path=xl/ctrlProps/ctrlProp25.xml><?xml version="1.0" encoding="utf-8"?>
<formControlPr xmlns="http://schemas.microsoft.com/office/spreadsheetml/2009/9/main" objectType="CheckBox" fmlaLink="$A$35" lockText="1" noThreeD="1"/>
</file>

<file path=xl/ctrlProps/ctrlProp26.xml><?xml version="1.0" encoding="utf-8"?>
<formControlPr xmlns="http://schemas.microsoft.com/office/spreadsheetml/2009/9/main" objectType="CheckBox" fmlaLink="$A$36" lockText="1" noThreeD="1"/>
</file>

<file path=xl/ctrlProps/ctrlProp27.xml><?xml version="1.0" encoding="utf-8"?>
<formControlPr xmlns="http://schemas.microsoft.com/office/spreadsheetml/2009/9/main" objectType="CheckBox" fmlaLink="$A$37" lockText="1" noThreeD="1"/>
</file>

<file path=xl/ctrlProps/ctrlProp28.xml><?xml version="1.0" encoding="utf-8"?>
<formControlPr xmlns="http://schemas.microsoft.com/office/spreadsheetml/2009/9/main" objectType="CheckBox" fmlaLink="$A$38" lockText="1" noThreeD="1"/>
</file>

<file path=xl/ctrlProps/ctrlProp29.xml><?xml version="1.0" encoding="utf-8"?>
<formControlPr xmlns="http://schemas.microsoft.com/office/spreadsheetml/2009/9/main" objectType="CheckBox" fmlaLink="$A$39" lockText="1" noThreeD="1"/>
</file>

<file path=xl/ctrlProps/ctrlProp3.xml><?xml version="1.0" encoding="utf-8"?>
<formControlPr xmlns="http://schemas.microsoft.com/office/spreadsheetml/2009/9/main" objectType="CheckBox" fmlaLink="$A$5" lockText="1" noThreeD="1"/>
</file>

<file path=xl/ctrlProps/ctrlProp30.xml><?xml version="1.0" encoding="utf-8"?>
<formControlPr xmlns="http://schemas.microsoft.com/office/spreadsheetml/2009/9/main" objectType="Drop" dropLines="6" dropStyle="combo" dx="22" fmlaLink="$A$40" fmlaRange="$B$187:$B$192" noThreeD="1" sel="1" val="0"/>
</file>

<file path=xl/ctrlProps/ctrlProp31.xml><?xml version="1.0" encoding="utf-8"?>
<formControlPr xmlns="http://schemas.microsoft.com/office/spreadsheetml/2009/9/main" objectType="CheckBox" fmlaLink="$A$41" lockText="1" noThreeD="1"/>
</file>

<file path=xl/ctrlProps/ctrlProp32.xml><?xml version="1.0" encoding="utf-8"?>
<formControlPr xmlns="http://schemas.microsoft.com/office/spreadsheetml/2009/9/main" objectType="CheckBox" checked="Checked" fmlaLink="$A$42" lockText="1" noThreeD="1"/>
</file>

<file path=xl/ctrlProps/ctrlProp33.xml><?xml version="1.0" encoding="utf-8"?>
<formControlPr xmlns="http://schemas.microsoft.com/office/spreadsheetml/2009/9/main" objectType="Drop" dropLines="20" dropStyle="combo" dx="22" fmlaLink="$A$43" fmlaRange="$B$193:$B$219" noThreeD="1" sel="1" val="0"/>
</file>

<file path=xl/ctrlProps/ctrlProp34.xml><?xml version="1.0" encoding="utf-8"?>
<formControlPr xmlns="http://schemas.microsoft.com/office/spreadsheetml/2009/9/main" objectType="Drop" dropLines="20" dropStyle="combo" dx="22" fmlaLink="$A$43" fmlaRange="$B$193:$B$219" noThreeD="1" sel="1" val="0"/>
</file>

<file path=xl/ctrlProps/ctrlProp35.xml><?xml version="1.0" encoding="utf-8"?>
<formControlPr xmlns="http://schemas.microsoft.com/office/spreadsheetml/2009/9/main" objectType="CheckBox" fmlaLink="$A$45" lockText="1" noThreeD="1"/>
</file>

<file path=xl/ctrlProps/ctrlProp36.xml><?xml version="1.0" encoding="utf-8"?>
<formControlPr xmlns="http://schemas.microsoft.com/office/spreadsheetml/2009/9/main" objectType="CheckBox" checked="Checked" fmlaLink="$A$46" lockText="1" noThreeD="1"/>
</file>

<file path=xl/ctrlProps/ctrlProp37.xml><?xml version="1.0" encoding="utf-8"?>
<formControlPr xmlns="http://schemas.microsoft.com/office/spreadsheetml/2009/9/main" objectType="Drop" dropStyle="combo" dx="22" fmlaLink="$A$48" fmlaRange="$B$159:$B$186" noThreeD="1" sel="1" val="0"/>
</file>

<file path=xl/ctrlProps/ctrlProp38.xml><?xml version="1.0" encoding="utf-8"?>
<formControlPr xmlns="http://schemas.microsoft.com/office/spreadsheetml/2009/9/main" objectType="CheckBox" fmlaLink="$A$51" lockText="1" noThreeD="1"/>
</file>

<file path=xl/ctrlProps/ctrlProp39.xml><?xml version="1.0" encoding="utf-8"?>
<formControlPr xmlns="http://schemas.microsoft.com/office/spreadsheetml/2009/9/main" objectType="CheckBox" fmlaLink="$A$52" lockText="1" noThreeD="1"/>
</file>

<file path=xl/ctrlProps/ctrlProp4.xml><?xml version="1.0" encoding="utf-8"?>
<formControlPr xmlns="http://schemas.microsoft.com/office/spreadsheetml/2009/9/main" objectType="CheckBox" checked="Checked" fmlaLink="$A$7" lockText="1" noThreeD="1"/>
</file>

<file path=xl/ctrlProps/ctrlProp40.xml><?xml version="1.0" encoding="utf-8"?>
<formControlPr xmlns="http://schemas.microsoft.com/office/spreadsheetml/2009/9/main" objectType="CheckBox" fmlaLink="$A$53" lockText="1" noThreeD="1"/>
</file>

<file path=xl/ctrlProps/ctrlProp41.xml><?xml version="1.0" encoding="utf-8"?>
<formControlPr xmlns="http://schemas.microsoft.com/office/spreadsheetml/2009/9/main" objectType="CheckBox" fmlaLink="$A$54" lockText="1" noThreeD="1"/>
</file>

<file path=xl/ctrlProps/ctrlProp42.xml><?xml version="1.0" encoding="utf-8"?>
<formControlPr xmlns="http://schemas.microsoft.com/office/spreadsheetml/2009/9/main" objectType="CheckBox" fmlaLink="$A$55" lockText="1" noThreeD="1"/>
</file>

<file path=xl/ctrlProps/ctrlProp43.xml><?xml version="1.0" encoding="utf-8"?>
<formControlPr xmlns="http://schemas.microsoft.com/office/spreadsheetml/2009/9/main" objectType="CheckBox" fmlaLink="$A$56" lockText="1" noThreeD="1"/>
</file>

<file path=xl/ctrlProps/ctrlProp44.xml><?xml version="1.0" encoding="utf-8"?>
<formControlPr xmlns="http://schemas.microsoft.com/office/spreadsheetml/2009/9/main" objectType="CheckBox" fmlaLink="$A$57" lockText="1" noThreeD="1"/>
</file>

<file path=xl/ctrlProps/ctrlProp45.xml><?xml version="1.0" encoding="utf-8"?>
<formControlPr xmlns="http://schemas.microsoft.com/office/spreadsheetml/2009/9/main" objectType="CheckBox" fmlaLink="$A$58" lockText="1" noThreeD="1"/>
</file>

<file path=xl/ctrlProps/ctrlProp46.xml><?xml version="1.0" encoding="utf-8"?>
<formControlPr xmlns="http://schemas.microsoft.com/office/spreadsheetml/2009/9/main" objectType="Drop" dropLines="6" dropStyle="combo" dx="22" fmlaLink="$A$59" fmlaRange="$B$187:$B$192" noThreeD="1" sel="1" val="0"/>
</file>

<file path=xl/ctrlProps/ctrlProp47.xml><?xml version="1.0" encoding="utf-8"?>
<formControlPr xmlns="http://schemas.microsoft.com/office/spreadsheetml/2009/9/main" objectType="CheckBox" fmlaLink="$A$60" lockText="1" noThreeD="1"/>
</file>

<file path=xl/ctrlProps/ctrlProp48.xml><?xml version="1.0" encoding="utf-8"?>
<formControlPr xmlns="http://schemas.microsoft.com/office/spreadsheetml/2009/9/main" objectType="CheckBox" checked="Checked" fmlaLink="$A$61" lockText="1" noThreeD="1"/>
</file>

<file path=xl/ctrlProps/ctrlProp49.xml><?xml version="1.0" encoding="utf-8"?>
<formControlPr xmlns="http://schemas.microsoft.com/office/spreadsheetml/2009/9/main" objectType="Drop" dropLines="20" dropStyle="combo" dx="22" fmlaLink="$A$62" fmlaRange="$B$193:$B$219" noThreeD="1" sel="1" val="0"/>
</file>

<file path=xl/ctrlProps/ctrlProp5.xml><?xml version="1.0" encoding="utf-8"?>
<formControlPr xmlns="http://schemas.microsoft.com/office/spreadsheetml/2009/9/main" objectType="CheckBox" fmlaLink="$A$8" lockText="1" noThreeD="1"/>
</file>

<file path=xl/ctrlProps/ctrlProp50.xml><?xml version="1.0" encoding="utf-8"?>
<formControlPr xmlns="http://schemas.microsoft.com/office/spreadsheetml/2009/9/main" objectType="CheckBox" fmlaLink="$A$64" lockText="1" noThreeD="1"/>
</file>

<file path=xl/ctrlProps/ctrlProp51.xml><?xml version="1.0" encoding="utf-8"?>
<formControlPr xmlns="http://schemas.microsoft.com/office/spreadsheetml/2009/9/main" objectType="CheckBox" checked="Checked" fmlaLink="$A$65" lockText="1" noThreeD="1"/>
</file>

<file path=xl/ctrlProps/ctrlProp52.xml><?xml version="1.0" encoding="utf-8"?>
<formControlPr xmlns="http://schemas.microsoft.com/office/spreadsheetml/2009/9/main" objectType="Drop" dropStyle="combo" dx="22" fmlaLink="$A$67" fmlaRange="$B$159:$B$186" noThreeD="1" sel="1" val="0"/>
</file>

<file path=xl/ctrlProps/ctrlProp53.xml><?xml version="1.0" encoding="utf-8"?>
<formControlPr xmlns="http://schemas.microsoft.com/office/spreadsheetml/2009/9/main" objectType="CheckBox" fmlaLink="$A$70" lockText="1" noThreeD="1"/>
</file>

<file path=xl/ctrlProps/ctrlProp54.xml><?xml version="1.0" encoding="utf-8"?>
<formControlPr xmlns="http://schemas.microsoft.com/office/spreadsheetml/2009/9/main" objectType="CheckBox" fmlaLink="$A$71" lockText="1" noThreeD="1"/>
</file>

<file path=xl/ctrlProps/ctrlProp55.xml><?xml version="1.0" encoding="utf-8"?>
<formControlPr xmlns="http://schemas.microsoft.com/office/spreadsheetml/2009/9/main" objectType="CheckBox" fmlaLink="$A$72" lockText="1" noThreeD="1"/>
</file>

<file path=xl/ctrlProps/ctrlProp56.xml><?xml version="1.0" encoding="utf-8"?>
<formControlPr xmlns="http://schemas.microsoft.com/office/spreadsheetml/2009/9/main" objectType="CheckBox" fmlaLink="$A$73" lockText="1" noThreeD="1"/>
</file>

<file path=xl/ctrlProps/ctrlProp57.xml><?xml version="1.0" encoding="utf-8"?>
<formControlPr xmlns="http://schemas.microsoft.com/office/spreadsheetml/2009/9/main" objectType="CheckBox" fmlaLink="$A$74" lockText="1" noThreeD="1"/>
</file>

<file path=xl/ctrlProps/ctrlProp58.xml><?xml version="1.0" encoding="utf-8"?>
<formControlPr xmlns="http://schemas.microsoft.com/office/spreadsheetml/2009/9/main" objectType="CheckBox" fmlaLink="$A$75" lockText="1" noThreeD="1"/>
</file>

<file path=xl/ctrlProps/ctrlProp59.xml><?xml version="1.0" encoding="utf-8"?>
<formControlPr xmlns="http://schemas.microsoft.com/office/spreadsheetml/2009/9/main" objectType="CheckBox" fmlaLink="$A$76" lockText="1" noThreeD="1"/>
</file>

<file path=xl/ctrlProps/ctrlProp6.xml><?xml version="1.0" encoding="utf-8"?>
<formControlPr xmlns="http://schemas.microsoft.com/office/spreadsheetml/2009/9/main" objectType="Drop" dropStyle="combo" dx="22" fmlaLink="$A$10" fmlaRange="$B$159:$B$186" noThreeD="1" sel="4" val="0"/>
</file>

<file path=xl/ctrlProps/ctrlProp60.xml><?xml version="1.0" encoding="utf-8"?>
<formControlPr xmlns="http://schemas.microsoft.com/office/spreadsheetml/2009/9/main" objectType="CheckBox" fmlaLink="$A$77" lockText="1" noThreeD="1"/>
</file>

<file path=xl/ctrlProps/ctrlProp61.xml><?xml version="1.0" encoding="utf-8"?>
<formControlPr xmlns="http://schemas.microsoft.com/office/spreadsheetml/2009/9/main" objectType="Drop" dropLines="6" dropStyle="combo" dx="22" fmlaLink="$A$78" fmlaRange="$B$187:$B$192" noThreeD="1" sel="1" val="0"/>
</file>

<file path=xl/ctrlProps/ctrlProp62.xml><?xml version="1.0" encoding="utf-8"?>
<formControlPr xmlns="http://schemas.microsoft.com/office/spreadsheetml/2009/9/main" objectType="CheckBox" fmlaLink="$A$79" lockText="1" noThreeD="1"/>
</file>

<file path=xl/ctrlProps/ctrlProp63.xml><?xml version="1.0" encoding="utf-8"?>
<formControlPr xmlns="http://schemas.microsoft.com/office/spreadsheetml/2009/9/main" objectType="CheckBox" checked="Checked" fmlaLink="$A$80" lockText="1" noThreeD="1"/>
</file>

<file path=xl/ctrlProps/ctrlProp64.xml><?xml version="1.0" encoding="utf-8"?>
<formControlPr xmlns="http://schemas.microsoft.com/office/spreadsheetml/2009/9/main" objectType="Drop" dropLines="20" dropStyle="combo" dx="22" fmlaLink="$A$81" fmlaRange="$B$193:$B$219" noThreeD="1" sel="1" val="0"/>
</file>

<file path=xl/ctrlProps/ctrlProp65.xml><?xml version="1.0" encoding="utf-8"?>
<formControlPr xmlns="http://schemas.microsoft.com/office/spreadsheetml/2009/9/main" objectType="CheckBox" fmlaLink="$A$83" lockText="1" noThreeD="1"/>
</file>

<file path=xl/ctrlProps/ctrlProp66.xml><?xml version="1.0" encoding="utf-8"?>
<formControlPr xmlns="http://schemas.microsoft.com/office/spreadsheetml/2009/9/main" objectType="CheckBox" checked="Checked" fmlaLink="$A$84" lockText="1" noThreeD="1"/>
</file>

<file path=xl/ctrlProps/ctrlProp67.xml><?xml version="1.0" encoding="utf-8"?>
<formControlPr xmlns="http://schemas.microsoft.com/office/spreadsheetml/2009/9/main" objectType="Drop" dropStyle="combo" dx="22" fmlaLink="$A$86" fmlaRange="$B$159:$B$186" noThreeD="1" sel="1" val="0"/>
</file>

<file path=xl/ctrlProps/ctrlProp68.xml><?xml version="1.0" encoding="utf-8"?>
<formControlPr xmlns="http://schemas.microsoft.com/office/spreadsheetml/2009/9/main" objectType="CheckBox" fmlaLink="$A$89" lockText="1" noThreeD="1"/>
</file>

<file path=xl/ctrlProps/ctrlProp69.xml><?xml version="1.0" encoding="utf-8"?>
<formControlPr xmlns="http://schemas.microsoft.com/office/spreadsheetml/2009/9/main" objectType="CheckBox" fmlaLink="$A$90" lockText="1" noThreeD="1"/>
</file>

<file path=xl/ctrlProps/ctrlProp7.xml><?xml version="1.0" encoding="utf-8"?>
<formControlPr xmlns="http://schemas.microsoft.com/office/spreadsheetml/2009/9/main" objectType="CheckBox" fmlaLink="$A$13" lockText="1" noThreeD="1"/>
</file>

<file path=xl/ctrlProps/ctrlProp70.xml><?xml version="1.0" encoding="utf-8"?>
<formControlPr xmlns="http://schemas.microsoft.com/office/spreadsheetml/2009/9/main" objectType="CheckBox" fmlaLink="$A$91" lockText="1" noThreeD="1"/>
</file>

<file path=xl/ctrlProps/ctrlProp71.xml><?xml version="1.0" encoding="utf-8"?>
<formControlPr xmlns="http://schemas.microsoft.com/office/spreadsheetml/2009/9/main" objectType="CheckBox" fmlaLink="$A$92" lockText="1" noThreeD="1"/>
</file>

<file path=xl/ctrlProps/ctrlProp72.xml><?xml version="1.0" encoding="utf-8"?>
<formControlPr xmlns="http://schemas.microsoft.com/office/spreadsheetml/2009/9/main" objectType="CheckBox" fmlaLink="$A$93" lockText="1" noThreeD="1"/>
</file>

<file path=xl/ctrlProps/ctrlProp73.xml><?xml version="1.0" encoding="utf-8"?>
<formControlPr xmlns="http://schemas.microsoft.com/office/spreadsheetml/2009/9/main" objectType="CheckBox" fmlaLink="$A$94" lockText="1" noThreeD="1"/>
</file>

<file path=xl/ctrlProps/ctrlProp74.xml><?xml version="1.0" encoding="utf-8"?>
<formControlPr xmlns="http://schemas.microsoft.com/office/spreadsheetml/2009/9/main" objectType="CheckBox" fmlaLink="$A$95" lockText="1" noThreeD="1"/>
</file>

<file path=xl/ctrlProps/ctrlProp75.xml><?xml version="1.0" encoding="utf-8"?>
<formControlPr xmlns="http://schemas.microsoft.com/office/spreadsheetml/2009/9/main" objectType="CheckBox" fmlaLink="$A$96" lockText="1" noThreeD="1"/>
</file>

<file path=xl/ctrlProps/ctrlProp76.xml><?xml version="1.0" encoding="utf-8"?>
<formControlPr xmlns="http://schemas.microsoft.com/office/spreadsheetml/2009/9/main" objectType="Drop" dropLines="6" dropStyle="combo" dx="22" fmlaLink="$A$97" fmlaRange="$B$187:$B$192" noThreeD="1" sel="1" val="0"/>
</file>

<file path=xl/ctrlProps/ctrlProp77.xml><?xml version="1.0" encoding="utf-8"?>
<formControlPr xmlns="http://schemas.microsoft.com/office/spreadsheetml/2009/9/main" objectType="CheckBox" fmlaLink="$A$98" lockText="1" noThreeD="1"/>
</file>

<file path=xl/ctrlProps/ctrlProp78.xml><?xml version="1.0" encoding="utf-8"?>
<formControlPr xmlns="http://schemas.microsoft.com/office/spreadsheetml/2009/9/main" objectType="CheckBox" checked="Checked" fmlaLink="$A$99" lockText="1" noThreeD="1"/>
</file>

<file path=xl/ctrlProps/ctrlProp79.xml><?xml version="1.0" encoding="utf-8"?>
<formControlPr xmlns="http://schemas.microsoft.com/office/spreadsheetml/2009/9/main" objectType="Drop" dropLines="20" dropStyle="combo" dx="22" fmlaLink="$A$100" fmlaRange="$B$193:$B$219" noThreeD="1" sel="1" val="0"/>
</file>

<file path=xl/ctrlProps/ctrlProp8.xml><?xml version="1.0" encoding="utf-8"?>
<formControlPr xmlns="http://schemas.microsoft.com/office/spreadsheetml/2009/9/main" objectType="CheckBox" fmlaLink="$A$14" lockText="1" noThreeD="1"/>
</file>

<file path=xl/ctrlProps/ctrlProp80.xml><?xml version="1.0" encoding="utf-8"?>
<formControlPr xmlns="http://schemas.microsoft.com/office/spreadsheetml/2009/9/main" objectType="CheckBox" fmlaLink="$A$102" lockText="1" noThreeD="1"/>
</file>

<file path=xl/ctrlProps/ctrlProp81.xml><?xml version="1.0" encoding="utf-8"?>
<formControlPr xmlns="http://schemas.microsoft.com/office/spreadsheetml/2009/9/main" objectType="CheckBox" checked="Checked" fmlaLink="$A$103" lockText="1" noThreeD="1"/>
</file>

<file path=xl/ctrlProps/ctrlProp82.xml><?xml version="1.0" encoding="utf-8"?>
<formControlPr xmlns="http://schemas.microsoft.com/office/spreadsheetml/2009/9/main" objectType="Drop" dropStyle="combo" dx="22" fmlaLink="$A$105" fmlaRange="$B$159:$B$186" noThreeD="1" sel="1" val="0"/>
</file>

<file path=xl/ctrlProps/ctrlProp83.xml><?xml version="1.0" encoding="utf-8"?>
<formControlPr xmlns="http://schemas.microsoft.com/office/spreadsheetml/2009/9/main" objectType="CheckBox" fmlaLink="$A$108" lockText="1" noThreeD="1"/>
</file>

<file path=xl/ctrlProps/ctrlProp84.xml><?xml version="1.0" encoding="utf-8"?>
<formControlPr xmlns="http://schemas.microsoft.com/office/spreadsheetml/2009/9/main" objectType="CheckBox" fmlaLink="$A$109" lockText="1" noThreeD="1"/>
</file>

<file path=xl/ctrlProps/ctrlProp85.xml><?xml version="1.0" encoding="utf-8"?>
<formControlPr xmlns="http://schemas.microsoft.com/office/spreadsheetml/2009/9/main" objectType="CheckBox" fmlaLink="$A$110" lockText="1" noThreeD="1"/>
</file>

<file path=xl/ctrlProps/ctrlProp86.xml><?xml version="1.0" encoding="utf-8"?>
<formControlPr xmlns="http://schemas.microsoft.com/office/spreadsheetml/2009/9/main" objectType="CheckBox" fmlaLink="$A$111" lockText="1" noThreeD="1"/>
</file>

<file path=xl/ctrlProps/ctrlProp87.xml><?xml version="1.0" encoding="utf-8"?>
<formControlPr xmlns="http://schemas.microsoft.com/office/spreadsheetml/2009/9/main" objectType="CheckBox" fmlaLink="$A$112" lockText="1" noThreeD="1"/>
</file>

<file path=xl/ctrlProps/ctrlProp88.xml><?xml version="1.0" encoding="utf-8"?>
<formControlPr xmlns="http://schemas.microsoft.com/office/spreadsheetml/2009/9/main" objectType="CheckBox" fmlaLink="$A$113" lockText="1" noThreeD="1"/>
</file>

<file path=xl/ctrlProps/ctrlProp89.xml><?xml version="1.0" encoding="utf-8"?>
<formControlPr xmlns="http://schemas.microsoft.com/office/spreadsheetml/2009/9/main" objectType="CheckBox" fmlaLink="$A$114" lockText="1" noThreeD="1"/>
</file>

<file path=xl/ctrlProps/ctrlProp9.xml><?xml version="1.0" encoding="utf-8"?>
<formControlPr xmlns="http://schemas.microsoft.com/office/spreadsheetml/2009/9/main" objectType="CheckBox" fmlaLink="$A$15" lockText="1" noThreeD="1"/>
</file>

<file path=xl/ctrlProps/ctrlProp90.xml><?xml version="1.0" encoding="utf-8"?>
<formControlPr xmlns="http://schemas.microsoft.com/office/spreadsheetml/2009/9/main" objectType="CheckBox" fmlaLink="$A$115" lockText="1" noThreeD="1"/>
</file>

<file path=xl/ctrlProps/ctrlProp91.xml><?xml version="1.0" encoding="utf-8"?>
<formControlPr xmlns="http://schemas.microsoft.com/office/spreadsheetml/2009/9/main" objectType="Drop" dropLines="6" dropStyle="combo" dx="22" fmlaLink="$A$116" fmlaRange="$B$187:$B$192" noThreeD="1" sel="1" val="0"/>
</file>

<file path=xl/ctrlProps/ctrlProp92.xml><?xml version="1.0" encoding="utf-8"?>
<formControlPr xmlns="http://schemas.microsoft.com/office/spreadsheetml/2009/9/main" objectType="CheckBox" fmlaLink="$A$117" lockText="1" noThreeD="1"/>
</file>

<file path=xl/ctrlProps/ctrlProp93.xml><?xml version="1.0" encoding="utf-8"?>
<formControlPr xmlns="http://schemas.microsoft.com/office/spreadsheetml/2009/9/main" objectType="CheckBox" checked="Checked" fmlaLink="$A$118" lockText="1" noThreeD="1"/>
</file>

<file path=xl/ctrlProps/ctrlProp94.xml><?xml version="1.0" encoding="utf-8"?>
<formControlPr xmlns="http://schemas.microsoft.com/office/spreadsheetml/2009/9/main" objectType="Drop" dropLines="20" dropStyle="combo" dx="22" fmlaLink="$A$119" fmlaRange="$B$193:$B$219" noThreeD="1" sel="1" val="0"/>
</file>

<file path=xl/ctrlProps/ctrlProp95.xml><?xml version="1.0" encoding="utf-8"?>
<formControlPr xmlns="http://schemas.microsoft.com/office/spreadsheetml/2009/9/main" objectType="CheckBox" fmlaLink="$A$121" lockText="1" noThreeD="1"/>
</file>

<file path=xl/ctrlProps/ctrlProp96.xml><?xml version="1.0" encoding="utf-8"?>
<formControlPr xmlns="http://schemas.microsoft.com/office/spreadsheetml/2009/9/main" objectType="CheckBox" checked="Checked" fmlaLink="$A$122" lockText="1" noThreeD="1"/>
</file>

<file path=xl/ctrlProps/ctrlProp97.xml><?xml version="1.0" encoding="utf-8"?>
<formControlPr xmlns="http://schemas.microsoft.com/office/spreadsheetml/2009/9/main" objectType="Drop" dropStyle="combo" dx="22" fmlaLink="$A$124" fmlaRange="$B$159:$B$186" noThreeD="1" sel="1" val="0"/>
</file>

<file path=xl/ctrlProps/ctrlProp98.xml><?xml version="1.0" encoding="utf-8"?>
<formControlPr xmlns="http://schemas.microsoft.com/office/spreadsheetml/2009/9/main" objectType="CheckBox" fmlaLink="$A$127" lockText="1" noThreeD="1"/>
</file>

<file path=xl/ctrlProps/ctrlProp99.xml><?xml version="1.0" encoding="utf-8"?>
<formControlPr xmlns="http://schemas.microsoft.com/office/spreadsheetml/2009/9/main" objectType="CheckBox" fmlaLink="$A$12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</xdr:row>
          <xdr:rowOff>9525</xdr:rowOff>
        </xdr:from>
        <xdr:to>
          <xdr:col>2</xdr:col>
          <xdr:colOff>1771650</xdr:colOff>
          <xdr:row>3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MPU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2</xdr:col>
          <xdr:colOff>1952625</xdr:colOff>
          <xdr:row>4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</xdr:row>
          <xdr:rowOff>9525</xdr:rowOff>
        </xdr:from>
        <xdr:to>
          <xdr:col>2</xdr:col>
          <xdr:colOff>1943100</xdr:colOff>
          <xdr:row>4</xdr:row>
          <xdr:rowOff>190500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</xdr:row>
          <xdr:rowOff>9525</xdr:rowOff>
        </xdr:from>
        <xdr:to>
          <xdr:col>2</xdr:col>
          <xdr:colOff>1771650</xdr:colOff>
          <xdr:row>7</xdr:row>
          <xdr:rowOff>0</xdr:rowOff>
        </xdr:to>
        <xdr:sp macro="" textlink="">
          <xdr:nvSpPr>
            <xdr:cNvPr id="2052" name="Check Box 4" descr="Configure Region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9525</xdr:rowOff>
        </xdr:from>
        <xdr:to>
          <xdr:col>2</xdr:col>
          <xdr:colOff>1571625</xdr:colOff>
          <xdr:row>8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2</xdr:col>
          <xdr:colOff>762000</xdr:colOff>
          <xdr:row>10</xdr:row>
          <xdr:rowOff>9525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1095375</xdr:colOff>
          <xdr:row>10</xdr:row>
          <xdr:rowOff>28575</xdr:rowOff>
        </xdr:from>
        <xdr:to>
          <xdr:col>2</xdr:col>
          <xdr:colOff>1276350</xdr:colOff>
          <xdr:row>11</xdr:row>
          <xdr:rowOff>19050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10</xdr:row>
          <xdr:rowOff>28575</xdr:rowOff>
        </xdr:from>
        <xdr:to>
          <xdr:col>2</xdr:col>
          <xdr:colOff>1123950</xdr:colOff>
          <xdr:row>11</xdr:row>
          <xdr:rowOff>19050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10</xdr:row>
          <xdr:rowOff>28575</xdr:rowOff>
        </xdr:from>
        <xdr:to>
          <xdr:col>2</xdr:col>
          <xdr:colOff>971550</xdr:colOff>
          <xdr:row>11</xdr:row>
          <xdr:rowOff>19050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10</xdr:row>
          <xdr:rowOff>28575</xdr:rowOff>
        </xdr:from>
        <xdr:to>
          <xdr:col>2</xdr:col>
          <xdr:colOff>819150</xdr:colOff>
          <xdr:row>11</xdr:row>
          <xdr:rowOff>19050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10</xdr:row>
          <xdr:rowOff>28575</xdr:rowOff>
        </xdr:from>
        <xdr:to>
          <xdr:col>2</xdr:col>
          <xdr:colOff>657225</xdr:colOff>
          <xdr:row>11</xdr:row>
          <xdr:rowOff>19050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10</xdr:row>
          <xdr:rowOff>28575</xdr:rowOff>
        </xdr:from>
        <xdr:to>
          <xdr:col>2</xdr:col>
          <xdr:colOff>504825</xdr:colOff>
          <xdr:row>11</xdr:row>
          <xdr:rowOff>19050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10</xdr:row>
          <xdr:rowOff>28575</xdr:rowOff>
        </xdr:from>
        <xdr:to>
          <xdr:col>2</xdr:col>
          <xdr:colOff>352425</xdr:colOff>
          <xdr:row>11</xdr:row>
          <xdr:rowOff>19050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28575</xdr:rowOff>
        </xdr:from>
        <xdr:to>
          <xdr:col>2</xdr:col>
          <xdr:colOff>200025</xdr:colOff>
          <xdr:row>11</xdr:row>
          <xdr:rowOff>19050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2</xdr:col>
          <xdr:colOff>762000</xdr:colOff>
          <xdr:row>21</xdr:row>
          <xdr:rowOff>9525</xdr:rowOff>
        </xdr:to>
        <xdr:sp macro="" textlink="">
          <xdr:nvSpPr>
            <xdr:cNvPr id="2067" name="Drop Dow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9525</xdr:rowOff>
        </xdr:from>
        <xdr:to>
          <xdr:col>2</xdr:col>
          <xdr:colOff>1571625</xdr:colOff>
          <xdr:row>22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9525</xdr:rowOff>
        </xdr:from>
        <xdr:to>
          <xdr:col>2</xdr:col>
          <xdr:colOff>1571625</xdr:colOff>
          <xdr:row>23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23</xdr:row>
          <xdr:rowOff>9525</xdr:rowOff>
        </xdr:from>
        <xdr:to>
          <xdr:col>2</xdr:col>
          <xdr:colOff>2266950</xdr:colOff>
          <xdr:row>23</xdr:row>
          <xdr:rowOff>180975</xdr:rowOff>
        </xdr:to>
        <xdr:sp macro="" textlink="">
          <xdr:nvSpPr>
            <xdr:cNvPr id="2070" name="Drop Down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25</xdr:row>
          <xdr:rowOff>9525</xdr:rowOff>
        </xdr:from>
        <xdr:to>
          <xdr:col>2</xdr:col>
          <xdr:colOff>1771650</xdr:colOff>
          <xdr:row>26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9525</xdr:rowOff>
        </xdr:from>
        <xdr:to>
          <xdr:col>2</xdr:col>
          <xdr:colOff>1571625</xdr:colOff>
          <xdr:row>27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2</xdr:col>
          <xdr:colOff>762000</xdr:colOff>
          <xdr:row>29</xdr:row>
          <xdr:rowOff>9525</xdr:rowOff>
        </xdr:to>
        <xdr:sp macro="" textlink="">
          <xdr:nvSpPr>
            <xdr:cNvPr id="2073" name="Drop Down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1095375</xdr:colOff>
          <xdr:row>29</xdr:row>
          <xdr:rowOff>28575</xdr:rowOff>
        </xdr:from>
        <xdr:to>
          <xdr:col>2</xdr:col>
          <xdr:colOff>1276350</xdr:colOff>
          <xdr:row>30</xdr:row>
          <xdr:rowOff>19050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29</xdr:row>
          <xdr:rowOff>28575</xdr:rowOff>
        </xdr:from>
        <xdr:to>
          <xdr:col>2</xdr:col>
          <xdr:colOff>1123950</xdr:colOff>
          <xdr:row>30</xdr:row>
          <xdr:rowOff>19050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29</xdr:row>
          <xdr:rowOff>28575</xdr:rowOff>
        </xdr:from>
        <xdr:to>
          <xdr:col>2</xdr:col>
          <xdr:colOff>962025</xdr:colOff>
          <xdr:row>30</xdr:row>
          <xdr:rowOff>19050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29</xdr:row>
          <xdr:rowOff>28575</xdr:rowOff>
        </xdr:from>
        <xdr:to>
          <xdr:col>2</xdr:col>
          <xdr:colOff>809625</xdr:colOff>
          <xdr:row>30</xdr:row>
          <xdr:rowOff>19050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29</xdr:row>
          <xdr:rowOff>28575</xdr:rowOff>
        </xdr:from>
        <xdr:to>
          <xdr:col>2</xdr:col>
          <xdr:colOff>657225</xdr:colOff>
          <xdr:row>30</xdr:row>
          <xdr:rowOff>19050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29</xdr:row>
          <xdr:rowOff>28575</xdr:rowOff>
        </xdr:from>
        <xdr:to>
          <xdr:col>2</xdr:col>
          <xdr:colOff>504825</xdr:colOff>
          <xdr:row>30</xdr:row>
          <xdr:rowOff>19050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29</xdr:row>
          <xdr:rowOff>28575</xdr:rowOff>
        </xdr:from>
        <xdr:to>
          <xdr:col>2</xdr:col>
          <xdr:colOff>342900</xdr:colOff>
          <xdr:row>30</xdr:row>
          <xdr:rowOff>19050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</xdr:row>
          <xdr:rowOff>28575</xdr:rowOff>
        </xdr:from>
        <xdr:to>
          <xdr:col>2</xdr:col>
          <xdr:colOff>190500</xdr:colOff>
          <xdr:row>30</xdr:row>
          <xdr:rowOff>19050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2</xdr:col>
          <xdr:colOff>762000</xdr:colOff>
          <xdr:row>40</xdr:row>
          <xdr:rowOff>9525</xdr:rowOff>
        </xdr:to>
        <xdr:sp macro="" textlink="">
          <xdr:nvSpPr>
            <xdr:cNvPr id="2082" name="Drop Down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9525</xdr:rowOff>
        </xdr:from>
        <xdr:to>
          <xdr:col>2</xdr:col>
          <xdr:colOff>1571625</xdr:colOff>
          <xdr:row>41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41</xdr:row>
          <xdr:rowOff>9525</xdr:rowOff>
        </xdr:from>
        <xdr:to>
          <xdr:col>2</xdr:col>
          <xdr:colOff>1571625</xdr:colOff>
          <xdr:row>42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42</xdr:row>
          <xdr:rowOff>0</xdr:rowOff>
        </xdr:from>
        <xdr:to>
          <xdr:col>2</xdr:col>
          <xdr:colOff>2266950</xdr:colOff>
          <xdr:row>43</xdr:row>
          <xdr:rowOff>0</xdr:rowOff>
        </xdr:to>
        <xdr:sp macro="" textlink="">
          <xdr:nvSpPr>
            <xdr:cNvPr id="2085" name="Drop Down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41</xdr:row>
          <xdr:rowOff>180975</xdr:rowOff>
        </xdr:from>
        <xdr:to>
          <xdr:col>2</xdr:col>
          <xdr:colOff>2266950</xdr:colOff>
          <xdr:row>42</xdr:row>
          <xdr:rowOff>190500</xdr:rowOff>
        </xdr:to>
        <xdr:sp macro="" textlink="">
          <xdr:nvSpPr>
            <xdr:cNvPr id="2086" name="Drop Down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44</xdr:row>
          <xdr:rowOff>9525</xdr:rowOff>
        </xdr:from>
        <xdr:to>
          <xdr:col>2</xdr:col>
          <xdr:colOff>1771650</xdr:colOff>
          <xdr:row>45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45</xdr:row>
          <xdr:rowOff>9525</xdr:rowOff>
        </xdr:from>
        <xdr:to>
          <xdr:col>2</xdr:col>
          <xdr:colOff>1571625</xdr:colOff>
          <xdr:row>46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47</xdr:row>
          <xdr:rowOff>0</xdr:rowOff>
        </xdr:from>
        <xdr:to>
          <xdr:col>2</xdr:col>
          <xdr:colOff>762000</xdr:colOff>
          <xdr:row>48</xdr:row>
          <xdr:rowOff>9525</xdr:rowOff>
        </xdr:to>
        <xdr:sp macro="" textlink="">
          <xdr:nvSpPr>
            <xdr:cNvPr id="2089" name="Drop Down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48</xdr:row>
          <xdr:rowOff>28575</xdr:rowOff>
        </xdr:from>
        <xdr:to>
          <xdr:col>2</xdr:col>
          <xdr:colOff>1266825</xdr:colOff>
          <xdr:row>49</xdr:row>
          <xdr:rowOff>19050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48</xdr:row>
          <xdr:rowOff>28575</xdr:rowOff>
        </xdr:from>
        <xdr:to>
          <xdr:col>2</xdr:col>
          <xdr:colOff>1114425</xdr:colOff>
          <xdr:row>49</xdr:row>
          <xdr:rowOff>19050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48</xdr:row>
          <xdr:rowOff>28575</xdr:rowOff>
        </xdr:from>
        <xdr:to>
          <xdr:col>2</xdr:col>
          <xdr:colOff>962025</xdr:colOff>
          <xdr:row>49</xdr:row>
          <xdr:rowOff>19050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48</xdr:row>
          <xdr:rowOff>28575</xdr:rowOff>
        </xdr:from>
        <xdr:to>
          <xdr:col>2</xdr:col>
          <xdr:colOff>809625</xdr:colOff>
          <xdr:row>49</xdr:row>
          <xdr:rowOff>19050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48</xdr:row>
          <xdr:rowOff>28575</xdr:rowOff>
        </xdr:from>
        <xdr:to>
          <xdr:col>2</xdr:col>
          <xdr:colOff>657225</xdr:colOff>
          <xdr:row>49</xdr:row>
          <xdr:rowOff>19050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48</xdr:row>
          <xdr:rowOff>28575</xdr:rowOff>
        </xdr:from>
        <xdr:to>
          <xdr:col>2</xdr:col>
          <xdr:colOff>495300</xdr:colOff>
          <xdr:row>49</xdr:row>
          <xdr:rowOff>19050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48</xdr:row>
          <xdr:rowOff>28575</xdr:rowOff>
        </xdr:from>
        <xdr:to>
          <xdr:col>2</xdr:col>
          <xdr:colOff>342900</xdr:colOff>
          <xdr:row>49</xdr:row>
          <xdr:rowOff>19050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48</xdr:row>
          <xdr:rowOff>28575</xdr:rowOff>
        </xdr:from>
        <xdr:to>
          <xdr:col>2</xdr:col>
          <xdr:colOff>190500</xdr:colOff>
          <xdr:row>49</xdr:row>
          <xdr:rowOff>19050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58</xdr:row>
          <xdr:rowOff>0</xdr:rowOff>
        </xdr:from>
        <xdr:to>
          <xdr:col>2</xdr:col>
          <xdr:colOff>762000</xdr:colOff>
          <xdr:row>59</xdr:row>
          <xdr:rowOff>9525</xdr:rowOff>
        </xdr:to>
        <xdr:sp macro="" textlink="">
          <xdr:nvSpPr>
            <xdr:cNvPr id="2098" name="Drop Down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59</xdr:row>
          <xdr:rowOff>9525</xdr:rowOff>
        </xdr:from>
        <xdr:to>
          <xdr:col>2</xdr:col>
          <xdr:colOff>1571625</xdr:colOff>
          <xdr:row>60</xdr:row>
          <xdr:rowOff>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60</xdr:row>
          <xdr:rowOff>9525</xdr:rowOff>
        </xdr:from>
        <xdr:to>
          <xdr:col>2</xdr:col>
          <xdr:colOff>1571625</xdr:colOff>
          <xdr:row>61</xdr:row>
          <xdr:rowOff>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60</xdr:row>
          <xdr:rowOff>180975</xdr:rowOff>
        </xdr:from>
        <xdr:to>
          <xdr:col>2</xdr:col>
          <xdr:colOff>2266950</xdr:colOff>
          <xdr:row>61</xdr:row>
          <xdr:rowOff>190500</xdr:rowOff>
        </xdr:to>
        <xdr:sp macro="" textlink="">
          <xdr:nvSpPr>
            <xdr:cNvPr id="2101" name="Drop Down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63</xdr:row>
          <xdr:rowOff>9525</xdr:rowOff>
        </xdr:from>
        <xdr:to>
          <xdr:col>2</xdr:col>
          <xdr:colOff>1771650</xdr:colOff>
          <xdr:row>64</xdr:row>
          <xdr:rowOff>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64</xdr:row>
          <xdr:rowOff>9525</xdr:rowOff>
        </xdr:from>
        <xdr:to>
          <xdr:col>2</xdr:col>
          <xdr:colOff>1571625</xdr:colOff>
          <xdr:row>65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66</xdr:row>
          <xdr:rowOff>0</xdr:rowOff>
        </xdr:from>
        <xdr:to>
          <xdr:col>2</xdr:col>
          <xdr:colOff>762000</xdr:colOff>
          <xdr:row>67</xdr:row>
          <xdr:rowOff>9525</xdr:rowOff>
        </xdr:to>
        <xdr:sp macro="" textlink="">
          <xdr:nvSpPr>
            <xdr:cNvPr id="2104" name="Drop Down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67</xdr:row>
          <xdr:rowOff>28575</xdr:rowOff>
        </xdr:from>
        <xdr:to>
          <xdr:col>2</xdr:col>
          <xdr:colOff>1266825</xdr:colOff>
          <xdr:row>68</xdr:row>
          <xdr:rowOff>19050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67</xdr:row>
          <xdr:rowOff>28575</xdr:rowOff>
        </xdr:from>
        <xdr:to>
          <xdr:col>2</xdr:col>
          <xdr:colOff>1114425</xdr:colOff>
          <xdr:row>68</xdr:row>
          <xdr:rowOff>19050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67</xdr:row>
          <xdr:rowOff>28575</xdr:rowOff>
        </xdr:from>
        <xdr:to>
          <xdr:col>2</xdr:col>
          <xdr:colOff>962025</xdr:colOff>
          <xdr:row>68</xdr:row>
          <xdr:rowOff>19050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619125</xdr:colOff>
          <xdr:row>67</xdr:row>
          <xdr:rowOff>28575</xdr:rowOff>
        </xdr:from>
        <xdr:to>
          <xdr:col>2</xdr:col>
          <xdr:colOff>800100</xdr:colOff>
          <xdr:row>68</xdr:row>
          <xdr:rowOff>19050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67</xdr:row>
          <xdr:rowOff>28575</xdr:rowOff>
        </xdr:from>
        <xdr:to>
          <xdr:col>2</xdr:col>
          <xdr:colOff>647700</xdr:colOff>
          <xdr:row>68</xdr:row>
          <xdr:rowOff>19050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67</xdr:row>
          <xdr:rowOff>28575</xdr:rowOff>
        </xdr:from>
        <xdr:to>
          <xdr:col>2</xdr:col>
          <xdr:colOff>495300</xdr:colOff>
          <xdr:row>68</xdr:row>
          <xdr:rowOff>19050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67</xdr:row>
          <xdr:rowOff>28575</xdr:rowOff>
        </xdr:from>
        <xdr:to>
          <xdr:col>2</xdr:col>
          <xdr:colOff>342900</xdr:colOff>
          <xdr:row>68</xdr:row>
          <xdr:rowOff>19050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67</xdr:row>
          <xdr:rowOff>28575</xdr:rowOff>
        </xdr:from>
        <xdr:to>
          <xdr:col>2</xdr:col>
          <xdr:colOff>190500</xdr:colOff>
          <xdr:row>68</xdr:row>
          <xdr:rowOff>19050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77</xdr:row>
          <xdr:rowOff>0</xdr:rowOff>
        </xdr:from>
        <xdr:to>
          <xdr:col>2</xdr:col>
          <xdr:colOff>762000</xdr:colOff>
          <xdr:row>78</xdr:row>
          <xdr:rowOff>9525</xdr:rowOff>
        </xdr:to>
        <xdr:sp macro="" textlink="">
          <xdr:nvSpPr>
            <xdr:cNvPr id="2113" name="Drop Dow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78</xdr:row>
          <xdr:rowOff>9525</xdr:rowOff>
        </xdr:from>
        <xdr:to>
          <xdr:col>2</xdr:col>
          <xdr:colOff>1571625</xdr:colOff>
          <xdr:row>79</xdr:row>
          <xdr:rowOff>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79</xdr:row>
          <xdr:rowOff>9525</xdr:rowOff>
        </xdr:from>
        <xdr:to>
          <xdr:col>2</xdr:col>
          <xdr:colOff>1571625</xdr:colOff>
          <xdr:row>80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79</xdr:row>
          <xdr:rowOff>180975</xdr:rowOff>
        </xdr:from>
        <xdr:to>
          <xdr:col>2</xdr:col>
          <xdr:colOff>2266950</xdr:colOff>
          <xdr:row>80</xdr:row>
          <xdr:rowOff>190500</xdr:rowOff>
        </xdr:to>
        <xdr:sp macro="" textlink="">
          <xdr:nvSpPr>
            <xdr:cNvPr id="2116" name="Drop Dow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82</xdr:row>
          <xdr:rowOff>9525</xdr:rowOff>
        </xdr:from>
        <xdr:to>
          <xdr:col>2</xdr:col>
          <xdr:colOff>1771650</xdr:colOff>
          <xdr:row>83</xdr:row>
          <xdr:rowOff>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0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83</xdr:row>
          <xdr:rowOff>9525</xdr:rowOff>
        </xdr:from>
        <xdr:to>
          <xdr:col>2</xdr:col>
          <xdr:colOff>1571625</xdr:colOff>
          <xdr:row>84</xdr:row>
          <xdr:rowOff>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85</xdr:row>
          <xdr:rowOff>0</xdr:rowOff>
        </xdr:from>
        <xdr:to>
          <xdr:col>2</xdr:col>
          <xdr:colOff>762000</xdr:colOff>
          <xdr:row>86</xdr:row>
          <xdr:rowOff>9525</xdr:rowOff>
        </xdr:to>
        <xdr:sp macro="" textlink="">
          <xdr:nvSpPr>
            <xdr:cNvPr id="2134" name="Drop Down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86</xdr:row>
          <xdr:rowOff>28575</xdr:rowOff>
        </xdr:from>
        <xdr:to>
          <xdr:col>2</xdr:col>
          <xdr:colOff>1266825</xdr:colOff>
          <xdr:row>87</xdr:row>
          <xdr:rowOff>19050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86</xdr:row>
          <xdr:rowOff>28575</xdr:rowOff>
        </xdr:from>
        <xdr:to>
          <xdr:col>2</xdr:col>
          <xdr:colOff>1114425</xdr:colOff>
          <xdr:row>87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86</xdr:row>
          <xdr:rowOff>28575</xdr:rowOff>
        </xdr:from>
        <xdr:to>
          <xdr:col>2</xdr:col>
          <xdr:colOff>962025</xdr:colOff>
          <xdr:row>87</xdr:row>
          <xdr:rowOff>19050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86</xdr:row>
          <xdr:rowOff>28575</xdr:rowOff>
        </xdr:from>
        <xdr:to>
          <xdr:col>2</xdr:col>
          <xdr:colOff>809625</xdr:colOff>
          <xdr:row>87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86</xdr:row>
          <xdr:rowOff>28575</xdr:rowOff>
        </xdr:from>
        <xdr:to>
          <xdr:col>2</xdr:col>
          <xdr:colOff>657225</xdr:colOff>
          <xdr:row>87</xdr:row>
          <xdr:rowOff>19050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0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86</xdr:row>
          <xdr:rowOff>28575</xdr:rowOff>
        </xdr:from>
        <xdr:to>
          <xdr:col>2</xdr:col>
          <xdr:colOff>495300</xdr:colOff>
          <xdr:row>87</xdr:row>
          <xdr:rowOff>19050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0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86</xdr:row>
          <xdr:rowOff>28575</xdr:rowOff>
        </xdr:from>
        <xdr:to>
          <xdr:col>2</xdr:col>
          <xdr:colOff>342900</xdr:colOff>
          <xdr:row>87</xdr:row>
          <xdr:rowOff>19050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0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86</xdr:row>
          <xdr:rowOff>28575</xdr:rowOff>
        </xdr:from>
        <xdr:to>
          <xdr:col>2</xdr:col>
          <xdr:colOff>190500</xdr:colOff>
          <xdr:row>87</xdr:row>
          <xdr:rowOff>19050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96</xdr:row>
          <xdr:rowOff>0</xdr:rowOff>
        </xdr:from>
        <xdr:to>
          <xdr:col>2</xdr:col>
          <xdr:colOff>762000</xdr:colOff>
          <xdr:row>97</xdr:row>
          <xdr:rowOff>9525</xdr:rowOff>
        </xdr:to>
        <xdr:sp macro="" textlink="">
          <xdr:nvSpPr>
            <xdr:cNvPr id="2143" name="Drop Down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97</xdr:row>
          <xdr:rowOff>9525</xdr:rowOff>
        </xdr:from>
        <xdr:to>
          <xdr:col>2</xdr:col>
          <xdr:colOff>1571625</xdr:colOff>
          <xdr:row>98</xdr:row>
          <xdr:rowOff>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0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98</xdr:row>
          <xdr:rowOff>9525</xdr:rowOff>
        </xdr:from>
        <xdr:to>
          <xdr:col>2</xdr:col>
          <xdr:colOff>1571625</xdr:colOff>
          <xdr:row>99</xdr:row>
          <xdr:rowOff>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98</xdr:row>
          <xdr:rowOff>180975</xdr:rowOff>
        </xdr:from>
        <xdr:to>
          <xdr:col>2</xdr:col>
          <xdr:colOff>2266950</xdr:colOff>
          <xdr:row>99</xdr:row>
          <xdr:rowOff>190500</xdr:rowOff>
        </xdr:to>
        <xdr:sp macro="" textlink="">
          <xdr:nvSpPr>
            <xdr:cNvPr id="2146" name="Drop Down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0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101</xdr:row>
          <xdr:rowOff>9525</xdr:rowOff>
        </xdr:from>
        <xdr:to>
          <xdr:col>2</xdr:col>
          <xdr:colOff>1771650</xdr:colOff>
          <xdr:row>102</xdr:row>
          <xdr:rowOff>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102</xdr:row>
          <xdr:rowOff>9525</xdr:rowOff>
        </xdr:from>
        <xdr:to>
          <xdr:col>2</xdr:col>
          <xdr:colOff>1571625</xdr:colOff>
          <xdr:row>103</xdr:row>
          <xdr:rowOff>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104</xdr:row>
          <xdr:rowOff>0</xdr:rowOff>
        </xdr:from>
        <xdr:to>
          <xdr:col>2</xdr:col>
          <xdr:colOff>762000</xdr:colOff>
          <xdr:row>105</xdr:row>
          <xdr:rowOff>9525</xdr:rowOff>
        </xdr:to>
        <xdr:sp macro="" textlink="">
          <xdr:nvSpPr>
            <xdr:cNvPr id="2150" name="Drop Down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105</xdr:row>
          <xdr:rowOff>28575</xdr:rowOff>
        </xdr:from>
        <xdr:to>
          <xdr:col>2</xdr:col>
          <xdr:colOff>1266825</xdr:colOff>
          <xdr:row>106</xdr:row>
          <xdr:rowOff>19050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105</xdr:row>
          <xdr:rowOff>28575</xdr:rowOff>
        </xdr:from>
        <xdr:to>
          <xdr:col>2</xdr:col>
          <xdr:colOff>1114425</xdr:colOff>
          <xdr:row>106</xdr:row>
          <xdr:rowOff>19050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105</xdr:row>
          <xdr:rowOff>28575</xdr:rowOff>
        </xdr:from>
        <xdr:to>
          <xdr:col>2</xdr:col>
          <xdr:colOff>962025</xdr:colOff>
          <xdr:row>106</xdr:row>
          <xdr:rowOff>19050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105</xdr:row>
          <xdr:rowOff>28575</xdr:rowOff>
        </xdr:from>
        <xdr:to>
          <xdr:col>2</xdr:col>
          <xdr:colOff>809625</xdr:colOff>
          <xdr:row>106</xdr:row>
          <xdr:rowOff>19050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105</xdr:row>
          <xdr:rowOff>28575</xdr:rowOff>
        </xdr:from>
        <xdr:to>
          <xdr:col>2</xdr:col>
          <xdr:colOff>657225</xdr:colOff>
          <xdr:row>106</xdr:row>
          <xdr:rowOff>19050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105</xdr:row>
          <xdr:rowOff>28575</xdr:rowOff>
        </xdr:from>
        <xdr:to>
          <xdr:col>2</xdr:col>
          <xdr:colOff>495300</xdr:colOff>
          <xdr:row>106</xdr:row>
          <xdr:rowOff>19050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0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105</xdr:row>
          <xdr:rowOff>28575</xdr:rowOff>
        </xdr:from>
        <xdr:to>
          <xdr:col>2</xdr:col>
          <xdr:colOff>342900</xdr:colOff>
          <xdr:row>106</xdr:row>
          <xdr:rowOff>19050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0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105</xdr:row>
          <xdr:rowOff>28575</xdr:rowOff>
        </xdr:from>
        <xdr:to>
          <xdr:col>2</xdr:col>
          <xdr:colOff>190500</xdr:colOff>
          <xdr:row>106</xdr:row>
          <xdr:rowOff>19050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0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115</xdr:row>
          <xdr:rowOff>0</xdr:rowOff>
        </xdr:from>
        <xdr:to>
          <xdr:col>2</xdr:col>
          <xdr:colOff>762000</xdr:colOff>
          <xdr:row>116</xdr:row>
          <xdr:rowOff>9525</xdr:rowOff>
        </xdr:to>
        <xdr:sp macro="" textlink="">
          <xdr:nvSpPr>
            <xdr:cNvPr id="2159" name="Drop Down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0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116</xdr:row>
          <xdr:rowOff>9525</xdr:rowOff>
        </xdr:from>
        <xdr:to>
          <xdr:col>2</xdr:col>
          <xdr:colOff>1571625</xdr:colOff>
          <xdr:row>117</xdr:row>
          <xdr:rowOff>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0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117</xdr:row>
          <xdr:rowOff>9525</xdr:rowOff>
        </xdr:from>
        <xdr:to>
          <xdr:col>2</xdr:col>
          <xdr:colOff>1571625</xdr:colOff>
          <xdr:row>118</xdr:row>
          <xdr:rowOff>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0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117</xdr:row>
          <xdr:rowOff>180975</xdr:rowOff>
        </xdr:from>
        <xdr:to>
          <xdr:col>2</xdr:col>
          <xdr:colOff>2266950</xdr:colOff>
          <xdr:row>118</xdr:row>
          <xdr:rowOff>190500</xdr:rowOff>
        </xdr:to>
        <xdr:sp macro="" textlink="">
          <xdr:nvSpPr>
            <xdr:cNvPr id="2162" name="Drop Down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0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120</xdr:row>
          <xdr:rowOff>9525</xdr:rowOff>
        </xdr:from>
        <xdr:to>
          <xdr:col>2</xdr:col>
          <xdr:colOff>1771650</xdr:colOff>
          <xdr:row>121</xdr:row>
          <xdr:rowOff>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0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121</xdr:row>
          <xdr:rowOff>9525</xdr:rowOff>
        </xdr:from>
        <xdr:to>
          <xdr:col>2</xdr:col>
          <xdr:colOff>1571625</xdr:colOff>
          <xdr:row>122</xdr:row>
          <xdr:rowOff>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0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123</xdr:row>
          <xdr:rowOff>0</xdr:rowOff>
        </xdr:from>
        <xdr:to>
          <xdr:col>2</xdr:col>
          <xdr:colOff>762000</xdr:colOff>
          <xdr:row>124</xdr:row>
          <xdr:rowOff>9525</xdr:rowOff>
        </xdr:to>
        <xdr:sp macro="" textlink="">
          <xdr:nvSpPr>
            <xdr:cNvPr id="2165" name="Drop Down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0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124</xdr:row>
          <xdr:rowOff>28575</xdr:rowOff>
        </xdr:from>
        <xdr:to>
          <xdr:col>2</xdr:col>
          <xdr:colOff>1266825</xdr:colOff>
          <xdr:row>125</xdr:row>
          <xdr:rowOff>19050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0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124</xdr:row>
          <xdr:rowOff>28575</xdr:rowOff>
        </xdr:from>
        <xdr:to>
          <xdr:col>2</xdr:col>
          <xdr:colOff>1114425</xdr:colOff>
          <xdr:row>125</xdr:row>
          <xdr:rowOff>19050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0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124</xdr:row>
          <xdr:rowOff>28575</xdr:rowOff>
        </xdr:from>
        <xdr:to>
          <xdr:col>2</xdr:col>
          <xdr:colOff>962025</xdr:colOff>
          <xdr:row>125</xdr:row>
          <xdr:rowOff>19050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0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124</xdr:row>
          <xdr:rowOff>28575</xdr:rowOff>
        </xdr:from>
        <xdr:to>
          <xdr:col>2</xdr:col>
          <xdr:colOff>809625</xdr:colOff>
          <xdr:row>125</xdr:row>
          <xdr:rowOff>19050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0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124</xdr:row>
          <xdr:rowOff>28575</xdr:rowOff>
        </xdr:from>
        <xdr:to>
          <xdr:col>2</xdr:col>
          <xdr:colOff>657225</xdr:colOff>
          <xdr:row>125</xdr:row>
          <xdr:rowOff>19050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0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124</xdr:row>
          <xdr:rowOff>28575</xdr:rowOff>
        </xdr:from>
        <xdr:to>
          <xdr:col>2</xdr:col>
          <xdr:colOff>495300</xdr:colOff>
          <xdr:row>125</xdr:row>
          <xdr:rowOff>19050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0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124</xdr:row>
          <xdr:rowOff>28575</xdr:rowOff>
        </xdr:from>
        <xdr:to>
          <xdr:col>2</xdr:col>
          <xdr:colOff>342900</xdr:colOff>
          <xdr:row>125</xdr:row>
          <xdr:rowOff>19050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0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124</xdr:row>
          <xdr:rowOff>28575</xdr:rowOff>
        </xdr:from>
        <xdr:to>
          <xdr:col>2</xdr:col>
          <xdr:colOff>190500</xdr:colOff>
          <xdr:row>125</xdr:row>
          <xdr:rowOff>19050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0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134</xdr:row>
          <xdr:rowOff>0</xdr:rowOff>
        </xdr:from>
        <xdr:to>
          <xdr:col>2</xdr:col>
          <xdr:colOff>762000</xdr:colOff>
          <xdr:row>135</xdr:row>
          <xdr:rowOff>9525</xdr:rowOff>
        </xdr:to>
        <xdr:sp macro="" textlink="">
          <xdr:nvSpPr>
            <xdr:cNvPr id="2174" name="Drop Down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0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135</xdr:row>
          <xdr:rowOff>9525</xdr:rowOff>
        </xdr:from>
        <xdr:to>
          <xdr:col>2</xdr:col>
          <xdr:colOff>1571625</xdr:colOff>
          <xdr:row>136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0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136</xdr:row>
          <xdr:rowOff>9525</xdr:rowOff>
        </xdr:from>
        <xdr:to>
          <xdr:col>2</xdr:col>
          <xdr:colOff>1571625</xdr:colOff>
          <xdr:row>137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0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136</xdr:row>
          <xdr:rowOff>180975</xdr:rowOff>
        </xdr:from>
        <xdr:to>
          <xdr:col>2</xdr:col>
          <xdr:colOff>2266950</xdr:colOff>
          <xdr:row>137</xdr:row>
          <xdr:rowOff>190500</xdr:rowOff>
        </xdr:to>
        <xdr:sp macro="" textlink="">
          <xdr:nvSpPr>
            <xdr:cNvPr id="2177" name="Drop Down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0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139</xdr:row>
          <xdr:rowOff>9525</xdr:rowOff>
        </xdr:from>
        <xdr:to>
          <xdr:col>2</xdr:col>
          <xdr:colOff>1771650</xdr:colOff>
          <xdr:row>140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0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140</xdr:row>
          <xdr:rowOff>9525</xdr:rowOff>
        </xdr:from>
        <xdr:to>
          <xdr:col>2</xdr:col>
          <xdr:colOff>1571625</xdr:colOff>
          <xdr:row>141</xdr:row>
          <xdr:rowOff>0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0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142</xdr:row>
          <xdr:rowOff>0</xdr:rowOff>
        </xdr:from>
        <xdr:to>
          <xdr:col>2</xdr:col>
          <xdr:colOff>762000</xdr:colOff>
          <xdr:row>143</xdr:row>
          <xdr:rowOff>9525</xdr:rowOff>
        </xdr:to>
        <xdr:sp macro="" textlink="">
          <xdr:nvSpPr>
            <xdr:cNvPr id="2180" name="Drop Down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0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143</xdr:row>
          <xdr:rowOff>28575</xdr:rowOff>
        </xdr:from>
        <xdr:to>
          <xdr:col>2</xdr:col>
          <xdr:colOff>1266825</xdr:colOff>
          <xdr:row>144</xdr:row>
          <xdr:rowOff>19050</xdr:rowOff>
        </xdr:to>
        <xdr:sp macro="" textlink="">
          <xdr:nvSpPr>
            <xdr:cNvPr id="2181" name="Check Box 133" hidden="1">
              <a:extLst>
                <a:ext uri="{63B3BB69-23CF-44E3-9099-C40C66FF867C}">
                  <a14:compatExt spid="_x0000_s2181"/>
                </a:ext>
                <a:ext uri="{FF2B5EF4-FFF2-40B4-BE49-F238E27FC236}">
                  <a16:creationId xmlns:a16="http://schemas.microsoft.com/office/drawing/2014/main" id="{00000000-0008-0000-0000-00008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143</xdr:row>
          <xdr:rowOff>28575</xdr:rowOff>
        </xdr:from>
        <xdr:to>
          <xdr:col>2</xdr:col>
          <xdr:colOff>1114425</xdr:colOff>
          <xdr:row>144</xdr:row>
          <xdr:rowOff>19050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143</xdr:row>
          <xdr:rowOff>28575</xdr:rowOff>
        </xdr:from>
        <xdr:to>
          <xdr:col>2</xdr:col>
          <xdr:colOff>962025</xdr:colOff>
          <xdr:row>144</xdr:row>
          <xdr:rowOff>19050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143</xdr:row>
          <xdr:rowOff>28575</xdr:rowOff>
        </xdr:from>
        <xdr:to>
          <xdr:col>2</xdr:col>
          <xdr:colOff>809625</xdr:colOff>
          <xdr:row>144</xdr:row>
          <xdr:rowOff>19050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0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143</xdr:row>
          <xdr:rowOff>28575</xdr:rowOff>
        </xdr:from>
        <xdr:to>
          <xdr:col>2</xdr:col>
          <xdr:colOff>657225</xdr:colOff>
          <xdr:row>144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143</xdr:row>
          <xdr:rowOff>28575</xdr:rowOff>
        </xdr:from>
        <xdr:to>
          <xdr:col>2</xdr:col>
          <xdr:colOff>495300</xdr:colOff>
          <xdr:row>144</xdr:row>
          <xdr:rowOff>19050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143</xdr:row>
          <xdr:rowOff>28575</xdr:rowOff>
        </xdr:from>
        <xdr:to>
          <xdr:col>2</xdr:col>
          <xdr:colOff>342900</xdr:colOff>
          <xdr:row>144</xdr:row>
          <xdr:rowOff>19050</xdr:rowOff>
        </xdr:to>
        <xdr:sp macro="" textlink="">
          <xdr:nvSpPr>
            <xdr:cNvPr id="2187" name="Check Box 139" hidden="1">
              <a:extLst>
                <a:ext uri="{63B3BB69-23CF-44E3-9099-C40C66FF867C}">
                  <a14:compatExt spid="_x0000_s2187"/>
                </a:ext>
                <a:ext uri="{FF2B5EF4-FFF2-40B4-BE49-F238E27FC236}">
                  <a16:creationId xmlns:a16="http://schemas.microsoft.com/office/drawing/2014/main" id="{00000000-0008-0000-0000-00008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143</xdr:row>
          <xdr:rowOff>28575</xdr:rowOff>
        </xdr:from>
        <xdr:to>
          <xdr:col>2</xdr:col>
          <xdr:colOff>190500</xdr:colOff>
          <xdr:row>144</xdr:row>
          <xdr:rowOff>19050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153</xdr:row>
          <xdr:rowOff>0</xdr:rowOff>
        </xdr:from>
        <xdr:to>
          <xdr:col>2</xdr:col>
          <xdr:colOff>762000</xdr:colOff>
          <xdr:row>154</xdr:row>
          <xdr:rowOff>9525</xdr:rowOff>
        </xdr:to>
        <xdr:sp macro="" textlink="">
          <xdr:nvSpPr>
            <xdr:cNvPr id="2189" name="Drop Down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0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154</xdr:row>
          <xdr:rowOff>9525</xdr:rowOff>
        </xdr:from>
        <xdr:to>
          <xdr:col>2</xdr:col>
          <xdr:colOff>1571625</xdr:colOff>
          <xdr:row>155</xdr:row>
          <xdr:rowOff>0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0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155</xdr:row>
          <xdr:rowOff>9525</xdr:rowOff>
        </xdr:from>
        <xdr:to>
          <xdr:col>2</xdr:col>
          <xdr:colOff>1571625</xdr:colOff>
          <xdr:row>156</xdr:row>
          <xdr:rowOff>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155</xdr:row>
          <xdr:rowOff>180975</xdr:rowOff>
        </xdr:from>
        <xdr:to>
          <xdr:col>2</xdr:col>
          <xdr:colOff>2266950</xdr:colOff>
          <xdr:row>156</xdr:row>
          <xdr:rowOff>190500</xdr:rowOff>
        </xdr:to>
        <xdr:sp macro="" textlink="">
          <xdr:nvSpPr>
            <xdr:cNvPr id="2192" name="Drop Down 144" hidden="1">
              <a:extLst>
                <a:ext uri="{63B3BB69-23CF-44E3-9099-C40C66FF867C}">
                  <a14:compatExt spid="_x0000_s2192"/>
                </a:ext>
                <a:ext uri="{FF2B5EF4-FFF2-40B4-BE49-F238E27FC236}">
                  <a16:creationId xmlns:a16="http://schemas.microsoft.com/office/drawing/2014/main" id="{00000000-0008-0000-0000-00009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2.xml"/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63" Type="http://schemas.openxmlformats.org/officeDocument/2006/relationships/ctrlProp" Target="../ctrlProps/ctrlProp59.xml"/><Relationship Id="rId68" Type="http://schemas.openxmlformats.org/officeDocument/2006/relationships/ctrlProp" Target="../ctrlProps/ctrlProp64.xml"/><Relationship Id="rId84" Type="http://schemas.openxmlformats.org/officeDocument/2006/relationships/ctrlProp" Target="../ctrlProps/ctrlProp80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6" Type="http://schemas.openxmlformats.org/officeDocument/2006/relationships/ctrlProp" Target="../ctrlProps/ctrlProp12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53" Type="http://schemas.openxmlformats.org/officeDocument/2006/relationships/ctrlProp" Target="../ctrlProps/ctrlProp49.xml"/><Relationship Id="rId58" Type="http://schemas.openxmlformats.org/officeDocument/2006/relationships/ctrlProp" Target="../ctrlProps/ctrlProp54.xml"/><Relationship Id="rId74" Type="http://schemas.openxmlformats.org/officeDocument/2006/relationships/ctrlProp" Target="../ctrlProps/ctrlProp70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28" Type="http://schemas.openxmlformats.org/officeDocument/2006/relationships/ctrlProp" Target="../ctrlProps/ctrlProp124.xml"/><Relationship Id="rId5" Type="http://schemas.openxmlformats.org/officeDocument/2006/relationships/ctrlProp" Target="../ctrlProps/ctrlProp1.xml"/><Relationship Id="rId90" Type="http://schemas.openxmlformats.org/officeDocument/2006/relationships/ctrlProp" Target="../ctrlProps/ctrlProp86.xml"/><Relationship Id="rId95" Type="http://schemas.openxmlformats.org/officeDocument/2006/relationships/ctrlProp" Target="../ctrlProps/ctrlProp91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64" Type="http://schemas.openxmlformats.org/officeDocument/2006/relationships/ctrlProp" Target="../ctrlProps/ctrlProp60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18" Type="http://schemas.openxmlformats.org/officeDocument/2006/relationships/ctrlProp" Target="../ctrlProps/ctrlProp114.xml"/><Relationship Id="rId80" Type="http://schemas.openxmlformats.org/officeDocument/2006/relationships/ctrlProp" Target="../ctrlProps/ctrlProp76.xml"/><Relationship Id="rId85" Type="http://schemas.openxmlformats.org/officeDocument/2006/relationships/ctrlProp" Target="../ctrlProps/ctrlProp81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08" Type="http://schemas.openxmlformats.org/officeDocument/2006/relationships/ctrlProp" Target="../ctrlProps/ctrlProp104.xml"/><Relationship Id="rId124" Type="http://schemas.openxmlformats.org/officeDocument/2006/relationships/ctrlProp" Target="../ctrlProps/ctrlProp120.xml"/><Relationship Id="rId54" Type="http://schemas.openxmlformats.org/officeDocument/2006/relationships/ctrlProp" Target="../ctrlProps/ctrlProp50.xml"/><Relationship Id="rId70" Type="http://schemas.openxmlformats.org/officeDocument/2006/relationships/ctrlProp" Target="../ctrlProps/ctrlProp66.xml"/><Relationship Id="rId75" Type="http://schemas.openxmlformats.org/officeDocument/2006/relationships/ctrlProp" Target="../ctrlProps/ctrlProp71.xml"/><Relationship Id="rId91" Type="http://schemas.openxmlformats.org/officeDocument/2006/relationships/ctrlProp" Target="../ctrlProps/ctrlProp87.xml"/><Relationship Id="rId96" Type="http://schemas.openxmlformats.org/officeDocument/2006/relationships/ctrlProp" Target="../ctrlProps/ctrlProp92.xml"/><Relationship Id="rId1" Type="http://schemas.openxmlformats.org/officeDocument/2006/relationships/hyperlink" Target="https://www.tnms.de/" TargetMode="Externa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04E56-642D-48B7-9F34-8191999432BA}">
  <sheetPr codeName="Tabelle2"/>
  <dimension ref="A1:F219"/>
  <sheetViews>
    <sheetView tabSelected="1" topLeftCell="B1" zoomScale="175" zoomScaleNormal="175" workbookViewId="0">
      <selection activeCell="C9" sqref="C9"/>
    </sheetView>
  </sheetViews>
  <sheetFormatPr baseColWidth="10" defaultRowHeight="15" x14ac:dyDescent="0.25"/>
  <cols>
    <col min="1" max="1" width="11.42578125" style="5" hidden="1" customWidth="1"/>
    <col min="2" max="2" width="32.28515625" customWidth="1"/>
    <col min="3" max="3" width="34.140625" customWidth="1"/>
    <col min="4" max="4" width="5.28515625" bestFit="1" customWidth="1"/>
    <col min="5" max="5" width="13.5703125" customWidth="1"/>
    <col min="6" max="6" width="27.28515625" bestFit="1" customWidth="1"/>
  </cols>
  <sheetData>
    <row r="1" spans="1:6" x14ac:dyDescent="0.25">
      <c r="B1" t="s">
        <v>220</v>
      </c>
      <c r="C1" s="4" t="s">
        <v>221</v>
      </c>
    </row>
    <row r="2" spans="1:6" ht="30.75" thickBot="1" x14ac:dyDescent="0.45">
      <c r="B2" s="3" t="s">
        <v>97</v>
      </c>
      <c r="C2" s="22" t="s">
        <v>251</v>
      </c>
    </row>
    <row r="3" spans="1:6" x14ac:dyDescent="0.25">
      <c r="A3" s="5" t="b">
        <v>0</v>
      </c>
      <c r="B3" s="6" t="s">
        <v>96</v>
      </c>
      <c r="C3" s="12"/>
    </row>
    <row r="4" spans="1:6" x14ac:dyDescent="0.25">
      <c r="A4" s="5" t="b">
        <v>1</v>
      </c>
      <c r="B4" s="7" t="s">
        <v>98</v>
      </c>
      <c r="C4" s="8"/>
    </row>
    <row r="5" spans="1:6" ht="15.75" thickBot="1" x14ac:dyDescent="0.3">
      <c r="A5" s="5" t="b">
        <v>0</v>
      </c>
      <c r="B5" s="10" t="s">
        <v>99</v>
      </c>
      <c r="C5" s="11"/>
    </row>
    <row r="6" spans="1:6" ht="15.75" thickBot="1" x14ac:dyDescent="0.3"/>
    <row r="7" spans="1:6" x14ac:dyDescent="0.25">
      <c r="A7" s="5" t="b">
        <v>1</v>
      </c>
      <c r="B7" s="6" t="s">
        <v>240</v>
      </c>
      <c r="C7" s="12"/>
    </row>
    <row r="8" spans="1:6" x14ac:dyDescent="0.25">
      <c r="A8" s="5" t="b">
        <v>0</v>
      </c>
      <c r="B8" s="7" t="s">
        <v>165</v>
      </c>
      <c r="C8" s="13"/>
    </row>
    <row r="9" spans="1:6" x14ac:dyDescent="0.25">
      <c r="A9" s="15" t="str">
        <f>DEC2HEX(_xlfn.BITLSHIFT(_xlfn.BITRSHIFT(HEX2DEC(C9),A10+4),A10+4),8)</f>
        <v>20000000</v>
      </c>
      <c r="B9" s="7" t="s">
        <v>166</v>
      </c>
      <c r="C9" s="19" t="s">
        <v>258</v>
      </c>
      <c r="D9" s="14" t="s">
        <v>248</v>
      </c>
      <c r="E9" s="17" t="str">
        <f>"0x"&amp;DEC2HEX(_xlfn.BITLSHIFT(_xlfn.BITRSHIFT(HEX2DEC(C9),A10+4),A10+4),8)</f>
        <v>0x20000000</v>
      </c>
      <c r="F9" s="23" t="str">
        <f>IF(OR(NOT(A7),A10&lt;4,A12,A13),"","SR0 0x"&amp;A9&amp;" - 0x"&amp;DEC2HEX(HEX2DEC(A9)+A11-1,8))</f>
        <v>SR0 0x20000000 - 0x2000001F</v>
      </c>
    </row>
    <row r="10" spans="1:6" x14ac:dyDescent="0.25">
      <c r="A10" s="5">
        <v>4</v>
      </c>
      <c r="B10" s="7" t="s">
        <v>167</v>
      </c>
      <c r="C10" s="21"/>
      <c r="D10" s="14" t="s">
        <v>246</v>
      </c>
      <c r="E10" s="18" t="str">
        <f>"0x"&amp;TEXT(DEC2HEX(_xlfn.BITLSHIFT(1,A10+4)),"00000000")</f>
        <v>0x00000100</v>
      </c>
      <c r="F10" t="str">
        <f>IF(OR(NOT(A7),A10&lt;4,A12,A14),"","SR1 0x"&amp;DEC2HEX(HEX2DEC(A9)+(1*A11),8)&amp;" - 0x"&amp;DEC2HEX(HEX2DEC(A9)+(2*A11)-1,8))</f>
        <v>SR1 0x20000020 - 0x2000003F</v>
      </c>
    </row>
    <row r="11" spans="1:6" x14ac:dyDescent="0.25">
      <c r="A11" s="5">
        <f>_xlfn.BITLSHIFT(1,A10+1)</f>
        <v>32</v>
      </c>
      <c r="B11" s="7" t="s">
        <v>169</v>
      </c>
      <c r="C11" s="8"/>
      <c r="D11" s="14" t="s">
        <v>247</v>
      </c>
      <c r="E11" s="16" t="str">
        <f>"0x"&amp;DEC2HEX(_xlfn.BITLSHIFT(_xlfn.BITRSHIFT(HEX2DEC(C9),A10+4),A10+4)+_xlfn.BITLSHIFT(1,A10+4),8)</f>
        <v>0x20000100</v>
      </c>
      <c r="F11" t="str">
        <f>IF(OR(NOT(A7),A10&lt;4,A12,A15),"","SR2 0x"&amp;DEC2HEX(HEX2DEC(A9)+(2*A11),8)&amp;" - 0x"&amp;DEC2HEX(HEX2DEC(A9)+(3*A11)-1,8))</f>
        <v>SR2 0x20000040 - 0x2000005F</v>
      </c>
    </row>
    <row r="12" spans="1:6" x14ac:dyDescent="0.25">
      <c r="A12" s="5" t="b">
        <f>NOT(OR(A13:A20))</f>
        <v>0</v>
      </c>
      <c r="B12" s="7"/>
      <c r="C12" s="8" t="s">
        <v>249</v>
      </c>
      <c r="F12" t="str">
        <f>IF(OR(NOT(A7),A10&lt;4,A12,A16),"","SR3 0x"&amp;DEC2HEX(HEX2DEC(A9)+(3*A11),8)&amp;" - 0x"&amp;DEC2HEX(HEX2DEC(A9)+(4*A11)-1,8))</f>
        <v>SR3 0x20000060 - 0x2000007F</v>
      </c>
    </row>
    <row r="13" spans="1:6" hidden="1" x14ac:dyDescent="0.25">
      <c r="A13" s="5" t="b">
        <v>0</v>
      </c>
      <c r="B13" s="7" t="s">
        <v>188</v>
      </c>
      <c r="C13" s="8"/>
    </row>
    <row r="14" spans="1:6" hidden="1" x14ac:dyDescent="0.25">
      <c r="A14" s="5" t="b">
        <v>0</v>
      </c>
      <c r="B14" s="7" t="s">
        <v>189</v>
      </c>
      <c r="C14" s="8"/>
    </row>
    <row r="15" spans="1:6" hidden="1" x14ac:dyDescent="0.25">
      <c r="A15" s="5" t="b">
        <v>0</v>
      </c>
      <c r="B15" s="7" t="s">
        <v>190</v>
      </c>
      <c r="C15" s="8"/>
    </row>
    <row r="16" spans="1:6" hidden="1" x14ac:dyDescent="0.25">
      <c r="A16" s="5" t="b">
        <v>0</v>
      </c>
      <c r="B16" s="7" t="s">
        <v>191</v>
      </c>
      <c r="C16" s="8"/>
    </row>
    <row r="17" spans="1:6" hidden="1" x14ac:dyDescent="0.25">
      <c r="A17" s="5" t="b">
        <v>0</v>
      </c>
      <c r="B17" s="7" t="s">
        <v>192</v>
      </c>
      <c r="C17" s="8"/>
    </row>
    <row r="18" spans="1:6" hidden="1" x14ac:dyDescent="0.25">
      <c r="A18" s="5" t="b">
        <v>1</v>
      </c>
      <c r="B18" s="7" t="s">
        <v>193</v>
      </c>
      <c r="C18" s="8"/>
    </row>
    <row r="19" spans="1:6" hidden="1" x14ac:dyDescent="0.25">
      <c r="A19" s="5" t="b">
        <v>0</v>
      </c>
      <c r="B19" s="7" t="s">
        <v>187</v>
      </c>
      <c r="C19" s="8"/>
    </row>
    <row r="20" spans="1:6" hidden="1" x14ac:dyDescent="0.25">
      <c r="A20" s="5" t="b">
        <v>0</v>
      </c>
      <c r="B20" s="7" t="s">
        <v>194</v>
      </c>
      <c r="C20" s="8"/>
    </row>
    <row r="21" spans="1:6" x14ac:dyDescent="0.25">
      <c r="A21" s="5">
        <v>3</v>
      </c>
      <c r="B21" s="7" t="s">
        <v>134</v>
      </c>
      <c r="C21" s="8"/>
      <c r="F21" t="str">
        <f>IF(OR(NOT(A7),A10&lt;4,A12,A17),"","SR4 0x"&amp;DEC2HEX(HEX2DEC(A9)+(4*A11),8)&amp;" - 0x"&amp;DEC2HEX(HEX2DEC(A9)+(5*A11)-1,8))</f>
        <v>SR4 0x20000080 - 0x2000009F</v>
      </c>
    </row>
    <row r="22" spans="1:6" x14ac:dyDescent="0.25">
      <c r="A22" s="5" t="b">
        <v>1</v>
      </c>
      <c r="B22" s="7" t="s">
        <v>135</v>
      </c>
      <c r="C22" s="8"/>
      <c r="F22" t="str">
        <f>IF(OR(NOT(A7),A10&lt;4,A12,A18),"","SR5 0x"&amp;DEC2HEX(HEX2DEC(A9)+(5*A11),8)&amp;" - 0x"&amp;DEC2HEX(HEX2DEC(A9)+(6*A11)-1,8))</f>
        <v/>
      </c>
    </row>
    <row r="23" spans="1:6" x14ac:dyDescent="0.25">
      <c r="A23" s="5" t="b">
        <v>1</v>
      </c>
      <c r="B23" s="7" t="s">
        <v>136</v>
      </c>
      <c r="C23" s="8"/>
      <c r="F23" t="str">
        <f>IF(OR(NOT(A7),A10&lt;4,A12,A19),"","SR6 0x"&amp;DEC2HEX(HEX2DEC(A9)+(6*A11),8)&amp;" - 0x"&amp;DEC2HEX(HEX2DEC(A9)+(7*A11)-1,8))</f>
        <v>SR6 0x200000C0 - 0x200000DF</v>
      </c>
    </row>
    <row r="24" spans="1:6" ht="15.75" thickBot="1" x14ac:dyDescent="0.3">
      <c r="A24" s="5">
        <v>1</v>
      </c>
      <c r="B24" s="10" t="s">
        <v>137</v>
      </c>
      <c r="C24" s="11"/>
      <c r="F24" t="str">
        <f>IF(OR(NOT(A7),A10&lt;4,A12,A20),"","SR7 0x"&amp;DEC2HEX(HEX2DEC(A9)+(7*A11),8)&amp;" - 0x"&amp;DEC2HEX(HEX2DEC(A9)+(8*A11)-1,8))</f>
        <v>SR7 0x200000E0 - 0x200000FF</v>
      </c>
    </row>
    <row r="25" spans="1:6" ht="15.75" thickBot="1" x14ac:dyDescent="0.3"/>
    <row r="26" spans="1:6" x14ac:dyDescent="0.25">
      <c r="A26" s="5" t="b">
        <v>0</v>
      </c>
      <c r="B26" s="6" t="s">
        <v>239</v>
      </c>
      <c r="C26" s="12"/>
    </row>
    <row r="27" spans="1:6" x14ac:dyDescent="0.25">
      <c r="A27" s="5" t="b">
        <v>1</v>
      </c>
      <c r="B27" s="7" t="s">
        <v>165</v>
      </c>
      <c r="C27" s="8"/>
    </row>
    <row r="28" spans="1:6" x14ac:dyDescent="0.25">
      <c r="A28" s="15" t="str">
        <f>DEC2HEX(_xlfn.BITLSHIFT(_xlfn.BITRSHIFT(HEX2DEC(C28),A29+4),A29+4),8)</f>
        <v>00000000</v>
      </c>
      <c r="B28" s="7" t="s">
        <v>166</v>
      </c>
      <c r="C28" s="19" t="s">
        <v>237</v>
      </c>
      <c r="D28" s="14" t="s">
        <v>248</v>
      </c>
      <c r="E28" s="17" t="str">
        <f>"0x"&amp;DEC2HEX(_xlfn.BITLSHIFT(_xlfn.BITRSHIFT(HEX2DEC(C28),A29+4),A29+4),8)</f>
        <v>0x00000000</v>
      </c>
      <c r="F28" s="23" t="str">
        <f>IF(OR(NOT(A26),A29&lt;4,A31,A32),"","SR0 0x"&amp;A28&amp;" - 0x"&amp;DEC2HEX(HEX2DEC(A28)+A30-1,8))</f>
        <v/>
      </c>
    </row>
    <row r="29" spans="1:6" x14ac:dyDescent="0.25">
      <c r="A29" s="5">
        <v>1</v>
      </c>
      <c r="B29" s="7" t="s">
        <v>167</v>
      </c>
      <c r="C29" s="9"/>
      <c r="D29" s="14" t="s">
        <v>246</v>
      </c>
      <c r="E29" s="18" t="str">
        <f>"0x"&amp;TEXT(DEC2HEX(_xlfn.BITLSHIFT(1,A29+4)),"00000000")</f>
        <v>0x00000020</v>
      </c>
      <c r="F29" t="str">
        <f>IF(OR(NOT(A26),A29&lt;4,A31,A33),"","SR1 0x"&amp;DEC2HEX(HEX2DEC(A28)+(1*A30),8)&amp;" - 0x"&amp;DEC2HEX(HEX2DEC(A28)+(2*A30)-1,8))</f>
        <v/>
      </c>
    </row>
    <row r="30" spans="1:6" x14ac:dyDescent="0.25">
      <c r="A30" s="5">
        <f>_xlfn.BITLSHIFT(1,A29+1)</f>
        <v>4</v>
      </c>
      <c r="B30" s="7" t="s">
        <v>168</v>
      </c>
      <c r="C30" s="8"/>
      <c r="D30" s="14" t="s">
        <v>247</v>
      </c>
      <c r="E30" s="16" t="str">
        <f>"0x"&amp;DEC2HEX(_xlfn.BITLSHIFT(_xlfn.BITRSHIFT(HEX2DEC(C28),A29+4),A29+4)+_xlfn.BITLSHIFT(1,A29+4),8)</f>
        <v>0x00000020</v>
      </c>
      <c r="F30" t="str">
        <f>IF(OR(NOT(A26),A29&lt;4,A31,A34),"","SR2 0x"&amp;DEC2HEX(HEX2DEC(A28)+(2*A30),8)&amp;" - 0x"&amp;DEC2HEX(HEX2DEC(A28)+(3*A30)-1,8))</f>
        <v/>
      </c>
    </row>
    <row r="31" spans="1:6" x14ac:dyDescent="0.25">
      <c r="A31" s="5" t="b">
        <f>NOT(OR(A32:A39))</f>
        <v>1</v>
      </c>
      <c r="B31" s="7"/>
      <c r="C31" s="8" t="s">
        <v>219</v>
      </c>
      <c r="F31" t="str">
        <f>IF(OR(NOT(A26),A29&lt;4,A31,A35),"","SR3 0x"&amp;DEC2HEX(HEX2DEC(A28)+(3*A30),8)&amp;" - 0x"&amp;DEC2HEX(HEX2DEC(A28)+(4*A30)-1,8))</f>
        <v/>
      </c>
    </row>
    <row r="32" spans="1:6" hidden="1" x14ac:dyDescent="0.25">
      <c r="A32" s="5" t="b">
        <v>0</v>
      </c>
      <c r="B32" s="7" t="s">
        <v>188</v>
      </c>
      <c r="C32" s="8"/>
    </row>
    <row r="33" spans="1:6" hidden="1" x14ac:dyDescent="0.25">
      <c r="A33" s="5" t="b">
        <v>0</v>
      </c>
      <c r="B33" s="7" t="s">
        <v>189</v>
      </c>
      <c r="C33" s="8"/>
    </row>
    <row r="34" spans="1:6" hidden="1" x14ac:dyDescent="0.25">
      <c r="A34" s="5" t="b">
        <v>0</v>
      </c>
      <c r="B34" s="7" t="s">
        <v>190</v>
      </c>
      <c r="C34" s="8"/>
    </row>
    <row r="35" spans="1:6" hidden="1" x14ac:dyDescent="0.25">
      <c r="A35" s="5" t="b">
        <v>0</v>
      </c>
      <c r="B35" s="7" t="s">
        <v>191</v>
      </c>
      <c r="C35" s="8"/>
    </row>
    <row r="36" spans="1:6" hidden="1" x14ac:dyDescent="0.25">
      <c r="A36" s="5" t="b">
        <v>0</v>
      </c>
      <c r="B36" s="7" t="s">
        <v>192</v>
      </c>
      <c r="C36" s="8"/>
    </row>
    <row r="37" spans="1:6" hidden="1" x14ac:dyDescent="0.25">
      <c r="A37" s="5" t="b">
        <v>0</v>
      </c>
      <c r="B37" s="7" t="s">
        <v>193</v>
      </c>
      <c r="C37" s="8"/>
    </row>
    <row r="38" spans="1:6" hidden="1" x14ac:dyDescent="0.25">
      <c r="A38" s="5" t="b">
        <v>0</v>
      </c>
      <c r="B38" s="7" t="s">
        <v>187</v>
      </c>
      <c r="C38" s="8"/>
    </row>
    <row r="39" spans="1:6" hidden="1" x14ac:dyDescent="0.25">
      <c r="A39" s="5" t="b">
        <v>0</v>
      </c>
      <c r="B39" s="7" t="s">
        <v>194</v>
      </c>
      <c r="C39" s="8"/>
    </row>
    <row r="40" spans="1:6" x14ac:dyDescent="0.25">
      <c r="A40" s="5">
        <v>1</v>
      </c>
      <c r="B40" s="7" t="s">
        <v>134</v>
      </c>
      <c r="C40" s="8"/>
      <c r="F40" t="str">
        <f>IF(OR(NOT(A26),A29&lt;4,A31,A36),"","SR4 0x"&amp;DEC2HEX(HEX2DEC(A28)+(4*A30),8)&amp;" - 0x"&amp;DEC2HEX(HEX2DEC(A28)+(5*A30)-1,8))</f>
        <v/>
      </c>
    </row>
    <row r="41" spans="1:6" x14ac:dyDescent="0.25">
      <c r="A41" s="5" t="b">
        <v>0</v>
      </c>
      <c r="B41" s="7" t="s">
        <v>135</v>
      </c>
      <c r="C41" s="8"/>
      <c r="F41" t="str">
        <f>IF(OR(NOT(A26),A29&lt;4,A31,A37),"","SR5 0x"&amp;DEC2HEX(HEX2DEC(A28)+(5*A30),8)&amp;" - 0x"&amp;DEC2HEX(HEX2DEC(A28)+(6*A30)-1,8))</f>
        <v/>
      </c>
    </row>
    <row r="42" spans="1:6" x14ac:dyDescent="0.25">
      <c r="A42" s="5" t="b">
        <v>1</v>
      </c>
      <c r="B42" s="7" t="s">
        <v>136</v>
      </c>
      <c r="C42" s="8"/>
      <c r="F42" t="str">
        <f>IF(OR(NOT(A26),A29&lt;4,A31,A38),"","SR6 0x"&amp;DEC2HEX(HEX2DEC(A28)+(6*A30),8)&amp;" - 0x"&amp;DEC2HEX(HEX2DEC(A28)+(7*A30)-1,8))</f>
        <v/>
      </c>
    </row>
    <row r="43" spans="1:6" ht="15.75" thickBot="1" x14ac:dyDescent="0.3">
      <c r="A43" s="5">
        <v>1</v>
      </c>
      <c r="B43" s="10" t="s">
        <v>137</v>
      </c>
      <c r="C43" s="11"/>
      <c r="F43" t="str">
        <f>IF(OR(NOT(A26),A29&lt;4,A31,A39),"","SR7 0x"&amp;DEC2HEX(HEX2DEC(A28)+(7*A30),8)&amp;" - 0x"&amp;DEC2HEX(HEX2DEC(A28)+(8*A30)-1,8))</f>
        <v/>
      </c>
    </row>
    <row r="44" spans="1:6" ht="15.75" thickBot="1" x14ac:dyDescent="0.3"/>
    <row r="45" spans="1:6" x14ac:dyDescent="0.25">
      <c r="A45" s="5" t="b">
        <v>0</v>
      </c>
      <c r="B45" s="6" t="s">
        <v>238</v>
      </c>
      <c r="C45" s="12"/>
    </row>
    <row r="46" spans="1:6" x14ac:dyDescent="0.25">
      <c r="A46" s="5" t="b">
        <v>1</v>
      </c>
      <c r="B46" s="7" t="s">
        <v>165</v>
      </c>
      <c r="C46" s="8"/>
    </row>
    <row r="47" spans="1:6" x14ac:dyDescent="0.25">
      <c r="A47" s="15" t="str">
        <f>DEC2HEX(_xlfn.BITLSHIFT(_xlfn.BITRSHIFT(HEX2DEC(C47),A48+4),A48+4),8)</f>
        <v>00000000</v>
      </c>
      <c r="B47" s="7" t="s">
        <v>166</v>
      </c>
      <c r="C47" s="19" t="s">
        <v>237</v>
      </c>
      <c r="D47" s="14" t="s">
        <v>248</v>
      </c>
      <c r="E47" s="17" t="str">
        <f>"0x"&amp;DEC2HEX(_xlfn.BITLSHIFT(_xlfn.BITRSHIFT(HEX2DEC(C47),A48+4),A48+4),8)</f>
        <v>0x00000000</v>
      </c>
      <c r="F47" s="23" t="str">
        <f>IF(OR(NOT(A45),A48&lt;4,A50,A51),"","SR0 0x"&amp;A47&amp;" - 0x"&amp;DEC2HEX(HEX2DEC(A47)+A49-1,8))</f>
        <v/>
      </c>
    </row>
    <row r="48" spans="1:6" x14ac:dyDescent="0.25">
      <c r="A48" s="5">
        <v>1</v>
      </c>
      <c r="B48" s="7" t="s">
        <v>167</v>
      </c>
      <c r="C48" s="9"/>
      <c r="D48" s="14" t="s">
        <v>246</v>
      </c>
      <c r="E48" s="18" t="str">
        <f>"0x"&amp;TEXT(DEC2HEX(_xlfn.BITLSHIFT(1,A48+4)),"00000000")</f>
        <v>0x00000020</v>
      </c>
      <c r="F48" t="str">
        <f>IF(OR(NOT(A45),A48&lt;4,A50,A52),"","SR1 0x"&amp;DEC2HEX(HEX2DEC(A47)+(1*A49),8)&amp;" - 0x"&amp;DEC2HEX(HEX2DEC(A47)+(2*A49)-1,8))</f>
        <v/>
      </c>
    </row>
    <row r="49" spans="1:6" x14ac:dyDescent="0.25">
      <c r="A49" s="5">
        <f>_xlfn.BITLSHIFT(1,A48+1)</f>
        <v>4</v>
      </c>
      <c r="B49" s="7" t="s">
        <v>168</v>
      </c>
      <c r="C49" s="8"/>
      <c r="D49" s="14" t="s">
        <v>247</v>
      </c>
      <c r="E49" s="16" t="str">
        <f>"0x"&amp;DEC2HEX(_xlfn.BITLSHIFT(_xlfn.BITRSHIFT(HEX2DEC(C47),A48+4),A48+4)+_xlfn.BITLSHIFT(1,A48+4),8)</f>
        <v>0x00000020</v>
      </c>
      <c r="F49" t="str">
        <f>IF(OR(NOT(A45),A48&lt;4,A50,A53),"","SR2 0x"&amp;DEC2HEX(HEX2DEC(A47)+(2*A49),8)&amp;" - 0x"&amp;DEC2HEX(HEX2DEC(A47)+(3*A49)-1,8))</f>
        <v/>
      </c>
    </row>
    <row r="50" spans="1:6" x14ac:dyDescent="0.25">
      <c r="A50" s="5" t="b">
        <f>NOT(OR(A51:A58))</f>
        <v>1</v>
      </c>
      <c r="B50" s="7"/>
      <c r="C50" s="8" t="s">
        <v>219</v>
      </c>
      <c r="F50" t="str">
        <f>IF(OR(NOT(A45),A48&lt;4,A50,A54),"","SR3 0x"&amp;DEC2HEX(HEX2DEC(A47)+(3*A49),8)&amp;" - 0x"&amp;DEC2HEX(HEX2DEC(A47)+(4*A49)-1,8))</f>
        <v/>
      </c>
    </row>
    <row r="51" spans="1:6" hidden="1" x14ac:dyDescent="0.25">
      <c r="A51" s="5" t="b">
        <v>0</v>
      </c>
      <c r="B51" s="7" t="s">
        <v>188</v>
      </c>
      <c r="C51" s="8"/>
    </row>
    <row r="52" spans="1:6" hidden="1" x14ac:dyDescent="0.25">
      <c r="A52" s="5" t="b">
        <v>0</v>
      </c>
      <c r="B52" s="7" t="s">
        <v>189</v>
      </c>
      <c r="C52" s="8"/>
    </row>
    <row r="53" spans="1:6" hidden="1" x14ac:dyDescent="0.25">
      <c r="A53" s="5" t="b">
        <v>0</v>
      </c>
      <c r="B53" s="7" t="s">
        <v>190</v>
      </c>
      <c r="C53" s="8"/>
    </row>
    <row r="54" spans="1:6" hidden="1" x14ac:dyDescent="0.25">
      <c r="A54" s="5" t="b">
        <v>0</v>
      </c>
      <c r="B54" s="7" t="s">
        <v>191</v>
      </c>
      <c r="C54" s="8"/>
    </row>
    <row r="55" spans="1:6" hidden="1" x14ac:dyDescent="0.25">
      <c r="A55" s="5" t="b">
        <v>0</v>
      </c>
      <c r="B55" s="7" t="s">
        <v>192</v>
      </c>
      <c r="C55" s="8"/>
    </row>
    <row r="56" spans="1:6" hidden="1" x14ac:dyDescent="0.25">
      <c r="A56" s="5" t="b">
        <v>0</v>
      </c>
      <c r="B56" s="7" t="s">
        <v>193</v>
      </c>
      <c r="C56" s="8"/>
    </row>
    <row r="57" spans="1:6" hidden="1" x14ac:dyDescent="0.25">
      <c r="A57" s="5" t="b">
        <v>0</v>
      </c>
      <c r="B57" s="7" t="s">
        <v>187</v>
      </c>
      <c r="C57" s="8"/>
    </row>
    <row r="58" spans="1:6" hidden="1" x14ac:dyDescent="0.25">
      <c r="A58" s="5" t="b">
        <v>0</v>
      </c>
      <c r="B58" s="7" t="s">
        <v>194</v>
      </c>
      <c r="C58" s="8"/>
    </row>
    <row r="59" spans="1:6" x14ac:dyDescent="0.25">
      <c r="A59" s="5">
        <v>1</v>
      </c>
      <c r="B59" s="7" t="s">
        <v>134</v>
      </c>
      <c r="C59" s="8"/>
      <c r="F59" t="str">
        <f>IF(OR(NOT(A45),A48&lt;4,A50,A55),"","SR4 0x"&amp;DEC2HEX(HEX2DEC(A47)+(4*A49),8)&amp;" - 0x"&amp;DEC2HEX(HEX2DEC(A47)+(5*A49)-1,8))</f>
        <v/>
      </c>
    </row>
    <row r="60" spans="1:6" x14ac:dyDescent="0.25">
      <c r="A60" s="5" t="b">
        <v>0</v>
      </c>
      <c r="B60" s="7" t="s">
        <v>135</v>
      </c>
      <c r="C60" s="8"/>
      <c r="F60" t="str">
        <f>IF(OR(NOT(A45),A48&lt;4,A50,A56),"","SR5 0x"&amp;DEC2HEX(HEX2DEC(A47)+(5*A49),8)&amp;" - 0x"&amp;DEC2HEX(HEX2DEC(A47)+(6*A49)-1,8))</f>
        <v/>
      </c>
    </row>
    <row r="61" spans="1:6" x14ac:dyDescent="0.25">
      <c r="A61" s="5" t="b">
        <v>1</v>
      </c>
      <c r="B61" s="7" t="s">
        <v>136</v>
      </c>
      <c r="C61" s="8"/>
      <c r="F61" t="str">
        <f>IF(OR(NOT(A45),A48&lt;4,A50,A57),"","SR6 0x"&amp;DEC2HEX(HEX2DEC(A47)+(6*A49),8)&amp;" - 0x"&amp;DEC2HEX(HEX2DEC(A47)+(7*A49)-1,8))</f>
        <v/>
      </c>
    </row>
    <row r="62" spans="1:6" ht="15.75" thickBot="1" x14ac:dyDescent="0.3">
      <c r="A62" s="5">
        <v>1</v>
      </c>
      <c r="B62" s="10" t="s">
        <v>137</v>
      </c>
      <c r="C62" s="11"/>
      <c r="F62" t="str">
        <f>IF(OR(NOT(A45),A48&lt;4,A50,A58),"","SR7 0x"&amp;DEC2HEX(HEX2DEC(A47)+(7*A49),8)&amp;" - 0x"&amp;DEC2HEX(HEX2DEC(A47)+(8*A49)-1,8))</f>
        <v/>
      </c>
    </row>
    <row r="63" spans="1:6" ht="15.75" thickBot="1" x14ac:dyDescent="0.3"/>
    <row r="64" spans="1:6" x14ac:dyDescent="0.25">
      <c r="A64" s="5" t="b">
        <v>0</v>
      </c>
      <c r="B64" s="6" t="s">
        <v>241</v>
      </c>
      <c r="C64" s="12"/>
    </row>
    <row r="65" spans="1:6" x14ac:dyDescent="0.25">
      <c r="A65" s="5" t="b">
        <v>1</v>
      </c>
      <c r="B65" s="7" t="s">
        <v>165</v>
      </c>
      <c r="C65" s="8"/>
    </row>
    <row r="66" spans="1:6" x14ac:dyDescent="0.25">
      <c r="A66" s="15" t="str">
        <f>DEC2HEX(_xlfn.BITLSHIFT(_xlfn.BITRSHIFT(HEX2DEC(C66),A67+4),A67+4),8)</f>
        <v>00000000</v>
      </c>
      <c r="B66" s="7" t="s">
        <v>166</v>
      </c>
      <c r="C66" s="20" t="s">
        <v>237</v>
      </c>
      <c r="D66" s="14" t="s">
        <v>248</v>
      </c>
      <c r="E66" s="17" t="str">
        <f t="shared" ref="E66" si="0">"0x"&amp;DEC2HEX(_xlfn.BITLSHIFT(_xlfn.BITRSHIFT(HEX2DEC(C66),A67+4),A67+4),8)</f>
        <v>0x00000000</v>
      </c>
      <c r="F66" s="23" t="str">
        <f>IF(OR(NOT(A64),A67&lt;4,A69,A70),"","SR0 0x"&amp;A66&amp;" - 0x"&amp;DEC2HEX(HEX2DEC(A66)+A68-1,8))</f>
        <v/>
      </c>
    </row>
    <row r="67" spans="1:6" x14ac:dyDescent="0.25">
      <c r="A67" s="5">
        <v>1</v>
      </c>
      <c r="B67" s="7" t="s">
        <v>167</v>
      </c>
      <c r="C67" s="9"/>
      <c r="D67" s="14" t="s">
        <v>246</v>
      </c>
      <c r="E67" s="18" t="str">
        <f t="shared" ref="E67" si="1">"0x"&amp;TEXT(DEC2HEX(_xlfn.BITLSHIFT(1,A67+4)),"00000000")</f>
        <v>0x00000020</v>
      </c>
      <c r="F67" t="str">
        <f>IF(OR(NOT(A64),A67&lt;4,A69,A71),"","SR1 0x"&amp;DEC2HEX(HEX2DEC(A66)+(1*A68),8)&amp;" - 0x"&amp;DEC2HEX(HEX2DEC(A66)+(2*A68)-1,8))</f>
        <v/>
      </c>
    </row>
    <row r="68" spans="1:6" x14ac:dyDescent="0.25">
      <c r="A68" s="5">
        <f>_xlfn.BITLSHIFT(1,A67+1)</f>
        <v>4</v>
      </c>
      <c r="B68" s="7" t="s">
        <v>168</v>
      </c>
      <c r="C68" s="8"/>
      <c r="D68" s="14" t="s">
        <v>247</v>
      </c>
      <c r="E68" s="16" t="str">
        <f t="shared" ref="E68" si="2">"0x"&amp;DEC2HEX(_xlfn.BITLSHIFT(_xlfn.BITRSHIFT(HEX2DEC(C66),A67+4),A67+4)+_xlfn.BITLSHIFT(1,A67+4),8)</f>
        <v>0x00000020</v>
      </c>
      <c r="F68" t="str">
        <f>IF(OR(NOT(A64),A67&lt;4,A69,A72),"","SR2 0x"&amp;DEC2HEX(HEX2DEC(A66)+(2*A68),8)&amp;" - 0x"&amp;DEC2HEX(HEX2DEC(A66)+(3*A68)-1,8))</f>
        <v/>
      </c>
    </row>
    <row r="69" spans="1:6" x14ac:dyDescent="0.25">
      <c r="A69" s="5" t="b">
        <f>NOT(OR(A70:A77))</f>
        <v>1</v>
      </c>
      <c r="B69" s="7"/>
      <c r="C69" s="8" t="s">
        <v>219</v>
      </c>
      <c r="F69" t="str">
        <f>IF(OR(NOT(A64),A67&lt;4,A69,A73),"","SR3 0x"&amp;DEC2HEX(HEX2DEC(A66)+(3*A68),8)&amp;" - 0x"&amp;DEC2HEX(HEX2DEC(A66)+(4*A68)-1,8))</f>
        <v/>
      </c>
    </row>
    <row r="70" spans="1:6" hidden="1" x14ac:dyDescent="0.25">
      <c r="A70" s="5" t="b">
        <v>0</v>
      </c>
      <c r="B70" s="7" t="s">
        <v>188</v>
      </c>
      <c r="C70" s="8"/>
    </row>
    <row r="71" spans="1:6" hidden="1" x14ac:dyDescent="0.25">
      <c r="A71" s="5" t="b">
        <v>0</v>
      </c>
      <c r="B71" s="7" t="s">
        <v>189</v>
      </c>
      <c r="C71" s="8"/>
    </row>
    <row r="72" spans="1:6" hidden="1" x14ac:dyDescent="0.25">
      <c r="A72" s="5" t="b">
        <v>0</v>
      </c>
      <c r="B72" s="7" t="s">
        <v>190</v>
      </c>
      <c r="C72" s="8"/>
    </row>
    <row r="73" spans="1:6" hidden="1" x14ac:dyDescent="0.25">
      <c r="A73" s="5" t="b">
        <v>0</v>
      </c>
      <c r="B73" s="7" t="s">
        <v>191</v>
      </c>
      <c r="C73" s="8"/>
    </row>
    <row r="74" spans="1:6" hidden="1" x14ac:dyDescent="0.25">
      <c r="A74" s="5" t="b">
        <v>0</v>
      </c>
      <c r="B74" s="7" t="s">
        <v>192</v>
      </c>
      <c r="C74" s="8"/>
    </row>
    <row r="75" spans="1:6" hidden="1" x14ac:dyDescent="0.25">
      <c r="A75" s="5" t="b">
        <v>0</v>
      </c>
      <c r="B75" s="7" t="s">
        <v>193</v>
      </c>
      <c r="C75" s="8"/>
    </row>
    <row r="76" spans="1:6" hidden="1" x14ac:dyDescent="0.25">
      <c r="A76" s="5" t="b">
        <v>0</v>
      </c>
      <c r="B76" s="7" t="s">
        <v>187</v>
      </c>
      <c r="C76" s="8"/>
    </row>
    <row r="77" spans="1:6" hidden="1" x14ac:dyDescent="0.25">
      <c r="A77" s="5" t="b">
        <v>0</v>
      </c>
      <c r="B77" s="7" t="s">
        <v>194</v>
      </c>
      <c r="C77" s="8"/>
    </row>
    <row r="78" spans="1:6" x14ac:dyDescent="0.25">
      <c r="A78" s="5">
        <v>1</v>
      </c>
      <c r="B78" s="7" t="s">
        <v>134</v>
      </c>
      <c r="C78" s="8"/>
      <c r="F78" t="str">
        <f>IF(OR(NOT(A64),A67&lt;4,A69,A74),"","SR4 0x"&amp;DEC2HEX(HEX2DEC(A66)+(4*A68),8)&amp;" - 0x"&amp;DEC2HEX(HEX2DEC(A66)+(5*A68)-1,8))</f>
        <v/>
      </c>
    </row>
    <row r="79" spans="1:6" x14ac:dyDescent="0.25">
      <c r="A79" s="5" t="b">
        <v>0</v>
      </c>
      <c r="B79" s="7" t="s">
        <v>135</v>
      </c>
      <c r="C79" s="8"/>
      <c r="F79" t="str">
        <f>IF(OR(NOT(A64),A67&lt;4,A69,A75),"","SR5 0x"&amp;DEC2HEX(HEX2DEC(A66)+(5*A68),8)&amp;" - 0x"&amp;DEC2HEX(HEX2DEC(A66)+(6*A68)-1,8))</f>
        <v/>
      </c>
    </row>
    <row r="80" spans="1:6" x14ac:dyDescent="0.25">
      <c r="A80" s="5" t="b">
        <v>1</v>
      </c>
      <c r="B80" s="7" t="s">
        <v>136</v>
      </c>
      <c r="C80" s="8"/>
      <c r="F80" t="str">
        <f>IF(OR(NOT(A64),A67&lt;4,A69,A76),"","SR6 0x"&amp;DEC2HEX(HEX2DEC(A66)+(6*A68),8)&amp;" - 0x"&amp;DEC2HEX(HEX2DEC(A66)+(7*A68)-1,8))</f>
        <v/>
      </c>
    </row>
    <row r="81" spans="1:6" ht="15.75" thickBot="1" x14ac:dyDescent="0.3">
      <c r="A81" s="5">
        <v>1</v>
      </c>
      <c r="B81" s="10" t="s">
        <v>137</v>
      </c>
      <c r="C81" s="11"/>
      <c r="F81" t="str">
        <f>IF(OR(NOT(A64),A67&lt;4,A69,A77),"","SR7 0x"&amp;DEC2HEX(HEX2DEC(A66)+(7*A68),8)&amp;" - 0x"&amp;DEC2HEX(HEX2DEC(A66)+(8*A68)-1,8))</f>
        <v/>
      </c>
    </row>
    <row r="82" spans="1:6" ht="15.75" thickBot="1" x14ac:dyDescent="0.3"/>
    <row r="83" spans="1:6" x14ac:dyDescent="0.25">
      <c r="A83" s="5" t="b">
        <v>0</v>
      </c>
      <c r="B83" s="6" t="s">
        <v>242</v>
      </c>
      <c r="C83" s="12"/>
    </row>
    <row r="84" spans="1:6" x14ac:dyDescent="0.25">
      <c r="A84" s="5" t="b">
        <v>1</v>
      </c>
      <c r="B84" s="7" t="s">
        <v>165</v>
      </c>
      <c r="C84" s="8"/>
    </row>
    <row r="85" spans="1:6" x14ac:dyDescent="0.25">
      <c r="A85" s="15" t="str">
        <f>DEC2HEX(_xlfn.BITLSHIFT(_xlfn.BITRSHIFT(HEX2DEC(C85),A86+4),A86+4),8)</f>
        <v>00000000</v>
      </c>
      <c r="B85" s="7" t="s">
        <v>166</v>
      </c>
      <c r="C85" s="19" t="s">
        <v>237</v>
      </c>
      <c r="D85" s="14" t="s">
        <v>248</v>
      </c>
      <c r="E85" s="17" t="str">
        <f t="shared" ref="E85" si="3">"0x"&amp;DEC2HEX(_xlfn.BITLSHIFT(_xlfn.BITRSHIFT(HEX2DEC(C85),A86+4),A86+4),8)</f>
        <v>0x00000000</v>
      </c>
      <c r="F85" s="23" t="str">
        <f>IF(OR(NOT(A83),A86&lt;4,A88,A89),"","SR0 0x"&amp;A85&amp;" - 0x"&amp;DEC2HEX(HEX2DEC(A85)+A87-1,8))</f>
        <v/>
      </c>
    </row>
    <row r="86" spans="1:6" x14ac:dyDescent="0.25">
      <c r="A86" s="5">
        <v>1</v>
      </c>
      <c r="B86" s="7" t="s">
        <v>167</v>
      </c>
      <c r="C86" s="9"/>
      <c r="D86" s="14" t="s">
        <v>246</v>
      </c>
      <c r="E86" s="18" t="str">
        <f t="shared" ref="E86" si="4">"0x"&amp;TEXT(DEC2HEX(_xlfn.BITLSHIFT(1,A86+4)),"00000000")</f>
        <v>0x00000020</v>
      </c>
      <c r="F86" t="str">
        <f>IF(OR(NOT(A83),A86&lt;4,A88,A90),"","SR1 0x"&amp;DEC2HEX(HEX2DEC(A85)+(1*A87),8)&amp;" - 0x"&amp;DEC2HEX(HEX2DEC(A85)+(2*A87)-1,8))</f>
        <v/>
      </c>
    </row>
    <row r="87" spans="1:6" x14ac:dyDescent="0.25">
      <c r="A87" s="5">
        <f>_xlfn.BITLSHIFT(1,A86+1)</f>
        <v>4</v>
      </c>
      <c r="B87" s="7" t="s">
        <v>168</v>
      </c>
      <c r="C87" s="8"/>
      <c r="D87" s="14" t="s">
        <v>247</v>
      </c>
      <c r="E87" s="16" t="str">
        <f t="shared" ref="E87" si="5">"0x"&amp;DEC2HEX(_xlfn.BITLSHIFT(_xlfn.BITRSHIFT(HEX2DEC(C85),A86+4),A86+4)+_xlfn.BITLSHIFT(1,A86+4),8)</f>
        <v>0x00000020</v>
      </c>
      <c r="F87" t="str">
        <f>IF(OR(NOT(A83),A86&lt;4,A88,A91),"","SR2 0x"&amp;DEC2HEX(HEX2DEC(A85)+(2*A87),8)&amp;" - 0x"&amp;DEC2HEX(HEX2DEC(A85)+(3*A87)-1,8))</f>
        <v/>
      </c>
    </row>
    <row r="88" spans="1:6" x14ac:dyDescent="0.25">
      <c r="A88" s="5" t="b">
        <f>NOT(OR(A89:A96))</f>
        <v>1</v>
      </c>
      <c r="B88" s="7"/>
      <c r="C88" s="8" t="s">
        <v>219</v>
      </c>
      <c r="F88" t="str">
        <f>IF(OR(NOT(A83),A86&lt;4,A88,A92),"","SR3 0x"&amp;DEC2HEX(HEX2DEC(A85)+(3*A87),8)&amp;" - 0x"&amp;DEC2HEX(HEX2DEC(A85)+(4*A87)-1,8))</f>
        <v/>
      </c>
    </row>
    <row r="89" spans="1:6" hidden="1" x14ac:dyDescent="0.25">
      <c r="A89" s="5" t="b">
        <v>0</v>
      </c>
      <c r="B89" s="7" t="s">
        <v>188</v>
      </c>
      <c r="C89" s="8"/>
    </row>
    <row r="90" spans="1:6" hidden="1" x14ac:dyDescent="0.25">
      <c r="A90" s="5" t="b">
        <v>0</v>
      </c>
      <c r="B90" s="7" t="s">
        <v>189</v>
      </c>
      <c r="C90" s="8"/>
    </row>
    <row r="91" spans="1:6" hidden="1" x14ac:dyDescent="0.25">
      <c r="A91" s="5" t="b">
        <v>0</v>
      </c>
      <c r="B91" s="7" t="s">
        <v>190</v>
      </c>
      <c r="C91" s="8"/>
    </row>
    <row r="92" spans="1:6" hidden="1" x14ac:dyDescent="0.25">
      <c r="A92" s="5" t="b">
        <v>0</v>
      </c>
      <c r="B92" s="7" t="s">
        <v>191</v>
      </c>
      <c r="C92" s="8"/>
    </row>
    <row r="93" spans="1:6" hidden="1" x14ac:dyDescent="0.25">
      <c r="A93" s="5" t="b">
        <v>0</v>
      </c>
      <c r="B93" s="7" t="s">
        <v>192</v>
      </c>
      <c r="C93" s="8"/>
    </row>
    <row r="94" spans="1:6" hidden="1" x14ac:dyDescent="0.25">
      <c r="A94" s="5" t="b">
        <v>0</v>
      </c>
      <c r="B94" s="7" t="s">
        <v>193</v>
      </c>
      <c r="C94" s="8"/>
    </row>
    <row r="95" spans="1:6" hidden="1" x14ac:dyDescent="0.25">
      <c r="A95" s="5" t="b">
        <v>0</v>
      </c>
      <c r="B95" s="7" t="s">
        <v>187</v>
      </c>
      <c r="C95" s="8"/>
    </row>
    <row r="96" spans="1:6" hidden="1" x14ac:dyDescent="0.25">
      <c r="A96" s="5" t="b">
        <v>0</v>
      </c>
      <c r="B96" s="7" t="s">
        <v>194</v>
      </c>
      <c r="C96" s="8"/>
    </row>
    <row r="97" spans="1:6" x14ac:dyDescent="0.25">
      <c r="A97" s="5">
        <v>1</v>
      </c>
      <c r="B97" s="7" t="s">
        <v>134</v>
      </c>
      <c r="C97" s="8"/>
      <c r="F97" t="str">
        <f>IF(OR(NOT(A83),A86&lt;4,A88,A93),"","SR4 0x"&amp;DEC2HEX(HEX2DEC(A85)+(4*A87),8)&amp;" - 0x"&amp;DEC2HEX(HEX2DEC(A85)+(5*A87)-1,8))</f>
        <v/>
      </c>
    </row>
    <row r="98" spans="1:6" x14ac:dyDescent="0.25">
      <c r="A98" s="5" t="b">
        <v>0</v>
      </c>
      <c r="B98" s="7" t="s">
        <v>135</v>
      </c>
      <c r="C98" s="8"/>
      <c r="F98" t="str">
        <f>IF(OR(NOT(A83),A86&lt;4,A88,A94),"","SR5 0x"&amp;DEC2HEX(HEX2DEC(A85)+(5*A87),8)&amp;" - 0x"&amp;DEC2HEX(HEX2DEC(A85)+(6*A87)-1,8))</f>
        <v/>
      </c>
    </row>
    <row r="99" spans="1:6" x14ac:dyDescent="0.25">
      <c r="A99" s="5" t="b">
        <v>1</v>
      </c>
      <c r="B99" s="7" t="s">
        <v>136</v>
      </c>
      <c r="C99" s="8"/>
      <c r="F99" t="str">
        <f>IF(OR(NOT(A83),A86&lt;4,A88,A95),"","SR6 0x"&amp;DEC2HEX(HEX2DEC(A85)+(6*A87),8)&amp;" - 0x"&amp;DEC2HEX(HEX2DEC(A85)+(7*A87)-1,8))</f>
        <v/>
      </c>
    </row>
    <row r="100" spans="1:6" ht="15.75" thickBot="1" x14ac:dyDescent="0.3">
      <c r="A100" s="5">
        <v>1</v>
      </c>
      <c r="B100" s="10" t="s">
        <v>137</v>
      </c>
      <c r="C100" s="11"/>
      <c r="F100" t="str">
        <f>IF(OR(NOT(A83),A86&lt;4,A88,A96),"","SR7 0x"&amp;DEC2HEX(HEX2DEC(A85)+(7*A87),8)&amp;" - 0x"&amp;DEC2HEX(HEX2DEC(A85)+(8*A87)-1,8))</f>
        <v/>
      </c>
    </row>
    <row r="101" spans="1:6" ht="15.75" thickBot="1" x14ac:dyDescent="0.3"/>
    <row r="102" spans="1:6" x14ac:dyDescent="0.25">
      <c r="A102" s="5" t="b">
        <v>0</v>
      </c>
      <c r="B102" s="6" t="s">
        <v>243</v>
      </c>
      <c r="C102" s="12"/>
    </row>
    <row r="103" spans="1:6" x14ac:dyDescent="0.25">
      <c r="A103" s="5" t="b">
        <v>1</v>
      </c>
      <c r="B103" s="7" t="s">
        <v>165</v>
      </c>
      <c r="C103" s="8"/>
    </row>
    <row r="104" spans="1:6" x14ac:dyDescent="0.25">
      <c r="A104" s="15" t="str">
        <f>DEC2HEX(_xlfn.BITLSHIFT(_xlfn.BITRSHIFT(HEX2DEC(C104),A105+4),A105+4),8)</f>
        <v>00000000</v>
      </c>
      <c r="B104" s="7" t="s">
        <v>166</v>
      </c>
      <c r="C104" s="19" t="s">
        <v>237</v>
      </c>
      <c r="D104" s="14" t="s">
        <v>248</v>
      </c>
      <c r="E104" s="17" t="str">
        <f t="shared" ref="E104" si="6">"0x"&amp;DEC2HEX(_xlfn.BITLSHIFT(_xlfn.BITRSHIFT(HEX2DEC(C104),A105+4),A105+4),8)</f>
        <v>0x00000000</v>
      </c>
      <c r="F104" s="23" t="str">
        <f>IF(OR(NOT(A102),A105&lt;4,A107,A108),"","SR0 0x"&amp;A104&amp;" - 0x"&amp;DEC2HEX(HEX2DEC(A104)+A106-1,8))</f>
        <v/>
      </c>
    </row>
    <row r="105" spans="1:6" x14ac:dyDescent="0.25">
      <c r="A105" s="5">
        <v>1</v>
      </c>
      <c r="B105" s="7" t="s">
        <v>167</v>
      </c>
      <c r="C105" s="9"/>
      <c r="D105" s="14" t="s">
        <v>246</v>
      </c>
      <c r="E105" s="18" t="str">
        <f t="shared" ref="E105" si="7">"0x"&amp;TEXT(DEC2HEX(_xlfn.BITLSHIFT(1,A105+4)),"00000000")</f>
        <v>0x00000020</v>
      </c>
      <c r="F105" t="str">
        <f>IF(OR(NOT(A102),A105&lt;4,A107,A109),"","SR1 0x"&amp;DEC2HEX(HEX2DEC(A104)+(1*A106),8)&amp;" - 0x"&amp;DEC2HEX(HEX2DEC(A104)+(2*A106)-1,8))</f>
        <v/>
      </c>
    </row>
    <row r="106" spans="1:6" x14ac:dyDescent="0.25">
      <c r="A106" s="5">
        <f>_xlfn.BITLSHIFT(1,A105+1)</f>
        <v>4</v>
      </c>
      <c r="B106" s="7" t="s">
        <v>168</v>
      </c>
      <c r="C106" s="8"/>
      <c r="D106" s="14" t="s">
        <v>247</v>
      </c>
      <c r="E106" s="16" t="str">
        <f t="shared" ref="E106" si="8">"0x"&amp;DEC2HEX(_xlfn.BITLSHIFT(_xlfn.BITRSHIFT(HEX2DEC(C104),A105+4),A105+4)+_xlfn.BITLSHIFT(1,A105+4),8)</f>
        <v>0x00000020</v>
      </c>
      <c r="F106" t="str">
        <f>IF(OR(NOT(A102),A105&lt;4,A107,A110),"","SR2 0x"&amp;DEC2HEX(HEX2DEC(A104)+(2*A106),8)&amp;" - 0x"&amp;DEC2HEX(HEX2DEC(A104)+(3*A106)-1,8))</f>
        <v/>
      </c>
    </row>
    <row r="107" spans="1:6" x14ac:dyDescent="0.25">
      <c r="A107" s="5" t="b">
        <f>NOT(OR(A108:A115))</f>
        <v>1</v>
      </c>
      <c r="B107" s="7"/>
      <c r="C107" s="8" t="s">
        <v>219</v>
      </c>
      <c r="F107" t="str">
        <f>IF(OR(NOT(A102),A105&lt;4,A107,A111),"","SR3 0x"&amp;DEC2HEX(HEX2DEC(A104)+(3*A106),8)&amp;" - 0x"&amp;DEC2HEX(HEX2DEC(A104)+(4*A106)-1,8))</f>
        <v/>
      </c>
    </row>
    <row r="108" spans="1:6" hidden="1" x14ac:dyDescent="0.25">
      <c r="A108" s="5" t="b">
        <v>0</v>
      </c>
      <c r="B108" s="7" t="s">
        <v>188</v>
      </c>
      <c r="C108" s="8"/>
    </row>
    <row r="109" spans="1:6" hidden="1" x14ac:dyDescent="0.25">
      <c r="A109" s="5" t="b">
        <v>0</v>
      </c>
      <c r="B109" s="7" t="s">
        <v>189</v>
      </c>
      <c r="C109" s="8"/>
    </row>
    <row r="110" spans="1:6" hidden="1" x14ac:dyDescent="0.25">
      <c r="A110" s="5" t="b">
        <v>0</v>
      </c>
      <c r="B110" s="7" t="s">
        <v>190</v>
      </c>
      <c r="C110" s="8"/>
    </row>
    <row r="111" spans="1:6" hidden="1" x14ac:dyDescent="0.25">
      <c r="A111" s="5" t="b">
        <v>0</v>
      </c>
      <c r="B111" s="7" t="s">
        <v>191</v>
      </c>
      <c r="C111" s="8"/>
    </row>
    <row r="112" spans="1:6" hidden="1" x14ac:dyDescent="0.25">
      <c r="A112" s="5" t="b">
        <v>0</v>
      </c>
      <c r="B112" s="7" t="s">
        <v>192</v>
      </c>
      <c r="C112" s="8"/>
    </row>
    <row r="113" spans="1:6" hidden="1" x14ac:dyDescent="0.25">
      <c r="A113" s="5" t="b">
        <v>0</v>
      </c>
      <c r="B113" s="7" t="s">
        <v>193</v>
      </c>
      <c r="C113" s="8"/>
    </row>
    <row r="114" spans="1:6" hidden="1" x14ac:dyDescent="0.25">
      <c r="A114" s="5" t="b">
        <v>0</v>
      </c>
      <c r="B114" s="7" t="s">
        <v>187</v>
      </c>
      <c r="C114" s="8"/>
    </row>
    <row r="115" spans="1:6" hidden="1" x14ac:dyDescent="0.25">
      <c r="A115" s="5" t="b">
        <v>0</v>
      </c>
      <c r="B115" s="7" t="s">
        <v>194</v>
      </c>
      <c r="C115" s="8"/>
    </row>
    <row r="116" spans="1:6" x14ac:dyDescent="0.25">
      <c r="A116" s="5">
        <v>1</v>
      </c>
      <c r="B116" s="7" t="s">
        <v>134</v>
      </c>
      <c r="C116" s="8"/>
      <c r="F116" t="str">
        <f>IF(OR(NOT(A102),A105&lt;4,A107,A112),"","SR4 0x"&amp;DEC2HEX(HEX2DEC(A104)+(4*A106),8)&amp;" - 0x"&amp;DEC2HEX(HEX2DEC(A104)+(5*A106)-1,8))</f>
        <v/>
      </c>
    </row>
    <row r="117" spans="1:6" x14ac:dyDescent="0.25">
      <c r="A117" s="5" t="b">
        <v>0</v>
      </c>
      <c r="B117" s="7" t="s">
        <v>135</v>
      </c>
      <c r="C117" s="8"/>
      <c r="F117" t="str">
        <f>IF(OR(NOT(A102),A105&lt;4,A107,A113),"","SR5 0x"&amp;DEC2HEX(HEX2DEC(A104)+(5*A106),8)&amp;" - 0x"&amp;DEC2HEX(HEX2DEC(A104)+(6*A106)-1,8))</f>
        <v/>
      </c>
    </row>
    <row r="118" spans="1:6" x14ac:dyDescent="0.25">
      <c r="A118" s="5" t="b">
        <v>1</v>
      </c>
      <c r="B118" s="7" t="s">
        <v>136</v>
      </c>
      <c r="C118" s="8"/>
      <c r="F118" t="str">
        <f>IF(OR(NOT(A102),A105&lt;4,A107,A114),"","SR6 0x"&amp;DEC2HEX(HEX2DEC(A104)+(6*A106),8)&amp;" - 0x"&amp;DEC2HEX(HEX2DEC(A104)+(7*A106)-1,8))</f>
        <v/>
      </c>
    </row>
    <row r="119" spans="1:6" ht="15.75" thickBot="1" x14ac:dyDescent="0.3">
      <c r="A119" s="5">
        <v>1</v>
      </c>
      <c r="B119" s="10" t="s">
        <v>137</v>
      </c>
      <c r="C119" s="11"/>
      <c r="F119" t="str">
        <f>IF(OR(NOT(A102),A105&lt;4,A107,A115),"","SR7 0x"&amp;DEC2HEX(HEX2DEC(A104)+(7*A106),8)&amp;" - 0x"&amp;DEC2HEX(HEX2DEC(A104)+(8*A106)-1,8))</f>
        <v/>
      </c>
    </row>
    <row r="120" spans="1:6" ht="15.75" thickBot="1" x14ac:dyDescent="0.3"/>
    <row r="121" spans="1:6" x14ac:dyDescent="0.25">
      <c r="A121" s="5" t="b">
        <v>0</v>
      </c>
      <c r="B121" s="6" t="s">
        <v>244</v>
      </c>
      <c r="C121" s="12"/>
    </row>
    <row r="122" spans="1:6" x14ac:dyDescent="0.25">
      <c r="A122" s="5" t="b">
        <v>1</v>
      </c>
      <c r="B122" s="7" t="s">
        <v>165</v>
      </c>
      <c r="C122" s="8"/>
    </row>
    <row r="123" spans="1:6" x14ac:dyDescent="0.25">
      <c r="A123" s="15" t="str">
        <f>DEC2HEX(_xlfn.BITLSHIFT(_xlfn.BITRSHIFT(HEX2DEC(C123),A124+4),A124+4),8)</f>
        <v>00000000</v>
      </c>
      <c r="B123" s="7" t="s">
        <v>166</v>
      </c>
      <c r="C123" s="19" t="s">
        <v>237</v>
      </c>
      <c r="D123" s="14" t="s">
        <v>248</v>
      </c>
      <c r="E123" s="17" t="str">
        <f t="shared" ref="E123" si="9">"0x"&amp;DEC2HEX(_xlfn.BITLSHIFT(_xlfn.BITRSHIFT(HEX2DEC(C123),A124+4),A124+4),8)</f>
        <v>0x00000000</v>
      </c>
      <c r="F123" s="23" t="str">
        <f>IF(OR(NOT(A121),A124&lt;4,A126,A127),"","SR0 0x"&amp;A123&amp;" - 0x"&amp;DEC2HEX(HEX2DEC(A123)+A125-1,8))</f>
        <v/>
      </c>
    </row>
    <row r="124" spans="1:6" x14ac:dyDescent="0.25">
      <c r="A124" s="5">
        <v>1</v>
      </c>
      <c r="B124" s="7" t="s">
        <v>167</v>
      </c>
      <c r="C124" s="9"/>
      <c r="D124" s="14" t="s">
        <v>246</v>
      </c>
      <c r="E124" s="18" t="str">
        <f t="shared" ref="E124" si="10">"0x"&amp;TEXT(DEC2HEX(_xlfn.BITLSHIFT(1,A124+4)),"00000000")</f>
        <v>0x00000020</v>
      </c>
      <c r="F124" t="str">
        <f>IF(OR(NOT(A121),A124&lt;4,A126,A128),"","SR1 0x"&amp;DEC2HEX(HEX2DEC(A123)+(1*A125),8)&amp;" - 0x"&amp;DEC2HEX(HEX2DEC(A123)+(2*A125)-1,8))</f>
        <v/>
      </c>
    </row>
    <row r="125" spans="1:6" x14ac:dyDescent="0.25">
      <c r="A125" s="5">
        <f>_xlfn.BITLSHIFT(1,A124+1)</f>
        <v>4</v>
      </c>
      <c r="B125" s="7" t="s">
        <v>168</v>
      </c>
      <c r="C125" s="8"/>
      <c r="D125" s="14" t="s">
        <v>247</v>
      </c>
      <c r="E125" s="16" t="str">
        <f t="shared" ref="E125" si="11">"0x"&amp;DEC2HEX(_xlfn.BITLSHIFT(_xlfn.BITRSHIFT(HEX2DEC(C123),A124+4),A124+4)+_xlfn.BITLSHIFT(1,A124+4),8)</f>
        <v>0x00000020</v>
      </c>
      <c r="F125" t="str">
        <f>IF(OR(NOT(A121),A124&lt;4,A126,A129),"","SR2 0x"&amp;DEC2HEX(HEX2DEC(A123)+(2*A125),8)&amp;" - 0x"&amp;DEC2HEX(HEX2DEC(A123)+(3*A125)-1,8))</f>
        <v/>
      </c>
    </row>
    <row r="126" spans="1:6" x14ac:dyDescent="0.25">
      <c r="A126" s="5" t="b">
        <f>NOT(OR(A127:A134))</f>
        <v>1</v>
      </c>
      <c r="B126" s="7"/>
      <c r="C126" s="8" t="s">
        <v>219</v>
      </c>
      <c r="F126" t="str">
        <f>IF(OR(NOT(A121),A124&lt;4,A126,A130),"","SR3 0x"&amp;DEC2HEX(HEX2DEC(A123)+(3*A125),8)&amp;" - 0x"&amp;DEC2HEX(HEX2DEC(A123)+(4*A125)-1,8))</f>
        <v/>
      </c>
    </row>
    <row r="127" spans="1:6" hidden="1" x14ac:dyDescent="0.25">
      <c r="A127" s="5" t="b">
        <v>0</v>
      </c>
      <c r="B127" s="7" t="s">
        <v>188</v>
      </c>
      <c r="C127" s="8"/>
    </row>
    <row r="128" spans="1:6" hidden="1" x14ac:dyDescent="0.25">
      <c r="A128" s="5" t="b">
        <v>0</v>
      </c>
      <c r="B128" s="7" t="s">
        <v>189</v>
      </c>
      <c r="C128" s="8"/>
    </row>
    <row r="129" spans="1:6" hidden="1" x14ac:dyDescent="0.25">
      <c r="A129" s="5" t="b">
        <v>0</v>
      </c>
      <c r="B129" s="7" t="s">
        <v>190</v>
      </c>
      <c r="C129" s="8"/>
    </row>
    <row r="130" spans="1:6" hidden="1" x14ac:dyDescent="0.25">
      <c r="A130" s="5" t="b">
        <v>0</v>
      </c>
      <c r="B130" s="7" t="s">
        <v>191</v>
      </c>
      <c r="C130" s="8"/>
    </row>
    <row r="131" spans="1:6" hidden="1" x14ac:dyDescent="0.25">
      <c r="A131" s="5" t="b">
        <v>0</v>
      </c>
      <c r="B131" s="7" t="s">
        <v>192</v>
      </c>
      <c r="C131" s="8"/>
    </row>
    <row r="132" spans="1:6" hidden="1" x14ac:dyDescent="0.25">
      <c r="A132" s="5" t="b">
        <v>0</v>
      </c>
      <c r="B132" s="7" t="s">
        <v>193</v>
      </c>
      <c r="C132" s="8"/>
    </row>
    <row r="133" spans="1:6" hidden="1" x14ac:dyDescent="0.25">
      <c r="A133" s="5" t="b">
        <v>0</v>
      </c>
      <c r="B133" s="7" t="s">
        <v>187</v>
      </c>
      <c r="C133" s="8"/>
    </row>
    <row r="134" spans="1:6" hidden="1" x14ac:dyDescent="0.25">
      <c r="A134" s="5" t="b">
        <v>0</v>
      </c>
      <c r="B134" s="7" t="s">
        <v>194</v>
      </c>
      <c r="C134" s="8"/>
    </row>
    <row r="135" spans="1:6" x14ac:dyDescent="0.25">
      <c r="A135" s="5">
        <v>1</v>
      </c>
      <c r="B135" s="7" t="s">
        <v>134</v>
      </c>
      <c r="C135" s="8"/>
      <c r="F135" t="str">
        <f>IF(OR(NOT(A121),A124&lt;4,A126,A131),"","SR4 0x"&amp;DEC2HEX(HEX2DEC(A123)+(4*A125),8)&amp;" - 0x"&amp;DEC2HEX(HEX2DEC(A123)+(5*A125)-1,8))</f>
        <v/>
      </c>
    </row>
    <row r="136" spans="1:6" x14ac:dyDescent="0.25">
      <c r="A136" s="5" t="b">
        <v>0</v>
      </c>
      <c r="B136" s="7" t="s">
        <v>135</v>
      </c>
      <c r="C136" s="8"/>
      <c r="F136" t="str">
        <f>IF(OR(NOT(A121),A124&lt;4,A126,A132),"","SR5 0x"&amp;DEC2HEX(HEX2DEC(A123)+(5*A125),8)&amp;" - 0x"&amp;DEC2HEX(HEX2DEC(A123)+(6*A125)-1,8))</f>
        <v/>
      </c>
    </row>
    <row r="137" spans="1:6" x14ac:dyDescent="0.25">
      <c r="A137" s="5" t="b">
        <v>1</v>
      </c>
      <c r="B137" s="7" t="s">
        <v>136</v>
      </c>
      <c r="C137" s="8"/>
      <c r="F137" t="str">
        <f>IF(OR(NOT(A121),A124&lt;4,A126,A133),"","SR6 0x"&amp;DEC2HEX(HEX2DEC(A123)+(6*A125),8)&amp;" - 0x"&amp;DEC2HEX(HEX2DEC(A123)+(7*A125)-1,8))</f>
        <v/>
      </c>
    </row>
    <row r="138" spans="1:6" ht="15.75" thickBot="1" x14ac:dyDescent="0.3">
      <c r="A138" s="5">
        <v>1</v>
      </c>
      <c r="B138" s="10" t="s">
        <v>137</v>
      </c>
      <c r="C138" s="11"/>
      <c r="F138" t="str">
        <f>IF(OR(NOT(A121),A124&lt;4,A126,A134),"","SR7 0x"&amp;DEC2HEX(HEX2DEC(A123)+(7*A125),8)&amp;" - 0x"&amp;DEC2HEX(HEX2DEC(A123)+(8*A125)-1,8))</f>
        <v/>
      </c>
    </row>
    <row r="139" spans="1:6" ht="15.75" thickBot="1" x14ac:dyDescent="0.3"/>
    <row r="140" spans="1:6" x14ac:dyDescent="0.25">
      <c r="A140" s="5" t="b">
        <v>0</v>
      </c>
      <c r="B140" s="6" t="s">
        <v>245</v>
      </c>
      <c r="C140" s="12"/>
    </row>
    <row r="141" spans="1:6" x14ac:dyDescent="0.25">
      <c r="A141" s="5" t="b">
        <v>1</v>
      </c>
      <c r="B141" s="7" t="s">
        <v>165</v>
      </c>
      <c r="C141" s="8"/>
    </row>
    <row r="142" spans="1:6" x14ac:dyDescent="0.25">
      <c r="A142" s="15" t="str">
        <f>DEC2HEX(_xlfn.BITLSHIFT(_xlfn.BITRSHIFT(HEX2DEC(C142),A143+4),A143+4),8)</f>
        <v>00000000</v>
      </c>
      <c r="B142" s="7" t="s">
        <v>166</v>
      </c>
      <c r="C142" s="19" t="s">
        <v>237</v>
      </c>
      <c r="D142" s="14" t="s">
        <v>248</v>
      </c>
      <c r="E142" s="17" t="str">
        <f t="shared" ref="E142" si="12">"0x"&amp;DEC2HEX(_xlfn.BITLSHIFT(_xlfn.BITRSHIFT(HEX2DEC(C142),A143+4),A143+4),8)</f>
        <v>0x00000000</v>
      </c>
      <c r="F142" s="23" t="str">
        <f>IF(OR(NOT(A140),A143&lt;4,A145,A146),"","SR0 0x"&amp;A142&amp;" - 0x"&amp;DEC2HEX(HEX2DEC(A142)+A144-1,8))</f>
        <v/>
      </c>
    </row>
    <row r="143" spans="1:6" x14ac:dyDescent="0.25">
      <c r="A143" s="5">
        <v>1</v>
      </c>
      <c r="B143" s="7" t="s">
        <v>167</v>
      </c>
      <c r="C143" s="9"/>
      <c r="D143" s="14" t="s">
        <v>246</v>
      </c>
      <c r="E143" s="18" t="str">
        <f t="shared" ref="E143" si="13">"0x"&amp;TEXT(DEC2HEX(_xlfn.BITLSHIFT(1,A143+4)),"00000000")</f>
        <v>0x00000020</v>
      </c>
      <c r="F143" t="str">
        <f>IF(OR(NOT(A140),A143&lt;4,A145,A147),"","SR1 0x"&amp;DEC2HEX(HEX2DEC(A142)+(1*A144),8)&amp;" - 0x"&amp;DEC2HEX(HEX2DEC(A142)+(2*A144)-1,8))</f>
        <v/>
      </c>
    </row>
    <row r="144" spans="1:6" x14ac:dyDescent="0.25">
      <c r="A144" s="5">
        <f>_xlfn.BITLSHIFT(1,A143+1)</f>
        <v>4</v>
      </c>
      <c r="B144" s="7" t="s">
        <v>168</v>
      </c>
      <c r="C144" s="8"/>
      <c r="D144" s="14" t="s">
        <v>247</v>
      </c>
      <c r="E144" s="16" t="str">
        <f t="shared" ref="E144" si="14">"0x"&amp;DEC2HEX(_xlfn.BITLSHIFT(_xlfn.BITRSHIFT(HEX2DEC(C142),A143+4),A143+4)+_xlfn.BITLSHIFT(1,A143+4),8)</f>
        <v>0x00000020</v>
      </c>
      <c r="F144" t="str">
        <f>IF(OR(NOT(A140),A143&lt;4,A145,A148),"","SR2 0x"&amp;DEC2HEX(HEX2DEC(A142)+(2*A144),8)&amp;" - 0x"&amp;DEC2HEX(HEX2DEC(A142)+(3*A144)-1,8))</f>
        <v/>
      </c>
    </row>
    <row r="145" spans="1:6" x14ac:dyDescent="0.25">
      <c r="A145" s="5" t="b">
        <f>NOT(OR(A146:A153))</f>
        <v>1</v>
      </c>
      <c r="B145" s="7"/>
      <c r="C145" s="8" t="s">
        <v>219</v>
      </c>
      <c r="F145" t="str">
        <f>IF(OR(NOT(A140),A143&lt;4,A145,A149),"","SR3 0x"&amp;DEC2HEX(HEX2DEC(A142)+(3*A144),8)&amp;" - 0x"&amp;DEC2HEX(HEX2DEC(A142)+(4*A144)-1,8))</f>
        <v/>
      </c>
    </row>
    <row r="146" spans="1:6" hidden="1" x14ac:dyDescent="0.25">
      <c r="A146" s="5" t="b">
        <v>0</v>
      </c>
      <c r="B146" s="7" t="s">
        <v>188</v>
      </c>
      <c r="C146" s="8"/>
    </row>
    <row r="147" spans="1:6" hidden="1" x14ac:dyDescent="0.25">
      <c r="A147" s="5" t="b">
        <v>0</v>
      </c>
      <c r="B147" s="7" t="s">
        <v>189</v>
      </c>
      <c r="C147" s="8"/>
    </row>
    <row r="148" spans="1:6" hidden="1" x14ac:dyDescent="0.25">
      <c r="A148" s="5" t="b">
        <v>0</v>
      </c>
      <c r="B148" s="7" t="s">
        <v>190</v>
      </c>
      <c r="C148" s="8"/>
    </row>
    <row r="149" spans="1:6" hidden="1" x14ac:dyDescent="0.25">
      <c r="A149" s="5" t="b">
        <v>0</v>
      </c>
      <c r="B149" s="7" t="s">
        <v>191</v>
      </c>
      <c r="C149" s="8"/>
    </row>
    <row r="150" spans="1:6" hidden="1" x14ac:dyDescent="0.25">
      <c r="A150" s="5" t="b">
        <v>0</v>
      </c>
      <c r="B150" s="7" t="s">
        <v>192</v>
      </c>
      <c r="C150" s="8"/>
    </row>
    <row r="151" spans="1:6" hidden="1" x14ac:dyDescent="0.25">
      <c r="A151" s="5" t="b">
        <v>0</v>
      </c>
      <c r="B151" s="7" t="s">
        <v>193</v>
      </c>
      <c r="C151" s="8"/>
    </row>
    <row r="152" spans="1:6" hidden="1" x14ac:dyDescent="0.25">
      <c r="A152" s="5" t="b">
        <v>0</v>
      </c>
      <c r="B152" s="7" t="s">
        <v>187</v>
      </c>
      <c r="C152" s="8"/>
    </row>
    <row r="153" spans="1:6" hidden="1" x14ac:dyDescent="0.25">
      <c r="A153" s="5" t="b">
        <v>0</v>
      </c>
      <c r="B153" s="7" t="s">
        <v>194</v>
      </c>
      <c r="C153" s="8"/>
    </row>
    <row r="154" spans="1:6" x14ac:dyDescent="0.25">
      <c r="A154" s="5">
        <v>1</v>
      </c>
      <c r="B154" s="7" t="s">
        <v>134</v>
      </c>
      <c r="C154" s="8"/>
      <c r="F154" t="str">
        <f>IF(OR(NOT(A140),A143&lt;4,A145,A150),"","SR4 0x"&amp;DEC2HEX(HEX2DEC(A142)+(4*A144),8)&amp;" - 0x"&amp;DEC2HEX(HEX2DEC(A142)+(5*A144)-1,8))</f>
        <v/>
      </c>
    </row>
    <row r="155" spans="1:6" x14ac:dyDescent="0.25">
      <c r="A155" s="5" t="b">
        <v>0</v>
      </c>
      <c r="B155" s="7" t="s">
        <v>135</v>
      </c>
      <c r="C155" s="8"/>
      <c r="F155" t="str">
        <f>IF(OR(NOT(A140),A143&lt;4,A145,A151),"","SR5 0x"&amp;DEC2HEX(HEX2DEC(A142)+(5*A144),8)&amp;" - 0x"&amp;DEC2HEX(HEX2DEC(A142)+(6*A144)-1,8))</f>
        <v/>
      </c>
    </row>
    <row r="156" spans="1:6" x14ac:dyDescent="0.25">
      <c r="A156" s="5" t="b">
        <v>1</v>
      </c>
      <c r="B156" s="7" t="s">
        <v>136</v>
      </c>
      <c r="C156" s="8"/>
      <c r="F156" t="str">
        <f>IF(OR(NOT(A140),A143&lt;4,A145,A152),"","SR6 0x"&amp;DEC2HEX(HEX2DEC(A142)+(6*A144),8)&amp;" - 0x"&amp;DEC2HEX(HEX2DEC(A142)+(7*A144)-1,8))</f>
        <v/>
      </c>
    </row>
    <row r="157" spans="1:6" ht="15.75" thickBot="1" x14ac:dyDescent="0.3">
      <c r="A157" s="5">
        <v>1</v>
      </c>
      <c r="B157" s="10" t="s">
        <v>137</v>
      </c>
      <c r="C157" s="11"/>
      <c r="F157" t="str">
        <f>IF(OR(NOT(A140),A143&lt;4,A145,A153),"","SR7 0x"&amp;DEC2HEX(HEX2DEC(A142)+(7*A144),8)&amp;" - 0x"&amp;DEC2HEX(HEX2DEC(A142)+(8*A144)-1,8))</f>
        <v/>
      </c>
    </row>
    <row r="159" spans="1:6" hidden="1" x14ac:dyDescent="0.25">
      <c r="B159" t="s">
        <v>111</v>
      </c>
    </row>
    <row r="160" spans="1:6" hidden="1" x14ac:dyDescent="0.25">
      <c r="B160" t="s">
        <v>110</v>
      </c>
    </row>
    <row r="161" spans="2:2" hidden="1" x14ac:dyDescent="0.25">
      <c r="B161" t="s">
        <v>100</v>
      </c>
    </row>
    <row r="162" spans="2:2" hidden="1" x14ac:dyDescent="0.25">
      <c r="B162" t="s">
        <v>101</v>
      </c>
    </row>
    <row r="163" spans="2:2" hidden="1" x14ac:dyDescent="0.25">
      <c r="B163" t="s">
        <v>102</v>
      </c>
    </row>
    <row r="164" spans="2:2" hidden="1" x14ac:dyDescent="0.25">
      <c r="B164" t="s">
        <v>103</v>
      </c>
    </row>
    <row r="165" spans="2:2" hidden="1" x14ac:dyDescent="0.25">
      <c r="B165" t="s">
        <v>104</v>
      </c>
    </row>
    <row r="166" spans="2:2" hidden="1" x14ac:dyDescent="0.25">
      <c r="B166" t="s">
        <v>105</v>
      </c>
    </row>
    <row r="167" spans="2:2" hidden="1" x14ac:dyDescent="0.25">
      <c r="B167" t="s">
        <v>106</v>
      </c>
    </row>
    <row r="168" spans="2:2" hidden="1" x14ac:dyDescent="0.25">
      <c r="B168" t="s">
        <v>107</v>
      </c>
    </row>
    <row r="169" spans="2:2" hidden="1" x14ac:dyDescent="0.25">
      <c r="B169" t="s">
        <v>109</v>
      </c>
    </row>
    <row r="170" spans="2:2" hidden="1" x14ac:dyDescent="0.25">
      <c r="B170" t="s">
        <v>108</v>
      </c>
    </row>
    <row r="171" spans="2:2" hidden="1" x14ac:dyDescent="0.25">
      <c r="B171" t="s">
        <v>114</v>
      </c>
    </row>
    <row r="172" spans="2:2" hidden="1" x14ac:dyDescent="0.25">
      <c r="B172" t="s">
        <v>113</v>
      </c>
    </row>
    <row r="173" spans="2:2" hidden="1" x14ac:dyDescent="0.25">
      <c r="B173" t="s">
        <v>112</v>
      </c>
    </row>
    <row r="174" spans="2:2" hidden="1" x14ac:dyDescent="0.25">
      <c r="B174" t="s">
        <v>115</v>
      </c>
    </row>
    <row r="175" spans="2:2" hidden="1" x14ac:dyDescent="0.25">
      <c r="B175" t="s">
        <v>116</v>
      </c>
    </row>
    <row r="176" spans="2:2" hidden="1" x14ac:dyDescent="0.25">
      <c r="B176" t="s">
        <v>117</v>
      </c>
    </row>
    <row r="177" spans="2:2" hidden="1" x14ac:dyDescent="0.25">
      <c r="B177" t="s">
        <v>118</v>
      </c>
    </row>
    <row r="178" spans="2:2" hidden="1" x14ac:dyDescent="0.25">
      <c r="B178" t="s">
        <v>119</v>
      </c>
    </row>
    <row r="179" spans="2:2" hidden="1" x14ac:dyDescent="0.25">
      <c r="B179" t="s">
        <v>120</v>
      </c>
    </row>
    <row r="180" spans="2:2" hidden="1" x14ac:dyDescent="0.25">
      <c r="B180" t="s">
        <v>121</v>
      </c>
    </row>
    <row r="181" spans="2:2" hidden="1" x14ac:dyDescent="0.25">
      <c r="B181" t="s">
        <v>122</v>
      </c>
    </row>
    <row r="182" spans="2:2" hidden="1" x14ac:dyDescent="0.25">
      <c r="B182" t="s">
        <v>123</v>
      </c>
    </row>
    <row r="183" spans="2:2" hidden="1" x14ac:dyDescent="0.25">
      <c r="B183" t="s">
        <v>124</v>
      </c>
    </row>
    <row r="184" spans="2:2" hidden="1" x14ac:dyDescent="0.25">
      <c r="B184" t="s">
        <v>125</v>
      </c>
    </row>
    <row r="185" spans="2:2" hidden="1" x14ac:dyDescent="0.25">
      <c r="B185" t="s">
        <v>126</v>
      </c>
    </row>
    <row r="186" spans="2:2" hidden="1" x14ac:dyDescent="0.25">
      <c r="B186" t="s">
        <v>127</v>
      </c>
    </row>
    <row r="187" spans="2:2" hidden="1" x14ac:dyDescent="0.25">
      <c r="B187" s="1" t="s">
        <v>128</v>
      </c>
    </row>
    <row r="188" spans="2:2" hidden="1" x14ac:dyDescent="0.25">
      <c r="B188" t="s">
        <v>129</v>
      </c>
    </row>
    <row r="189" spans="2:2" hidden="1" x14ac:dyDescent="0.25">
      <c r="B189" t="s">
        <v>130</v>
      </c>
    </row>
    <row r="190" spans="2:2" hidden="1" x14ac:dyDescent="0.25">
      <c r="B190" t="s">
        <v>131</v>
      </c>
    </row>
    <row r="191" spans="2:2" hidden="1" x14ac:dyDescent="0.25">
      <c r="B191" t="s">
        <v>132</v>
      </c>
    </row>
    <row r="192" spans="2:2" hidden="1" x14ac:dyDescent="0.25">
      <c r="B192" t="s">
        <v>133</v>
      </c>
    </row>
    <row r="193" spans="2:2" hidden="1" x14ac:dyDescent="0.25">
      <c r="B193" t="s">
        <v>138</v>
      </c>
    </row>
    <row r="194" spans="2:2" hidden="1" x14ac:dyDescent="0.25">
      <c r="B194" t="s">
        <v>139</v>
      </c>
    </row>
    <row r="195" spans="2:2" hidden="1" x14ac:dyDescent="0.25">
      <c r="B195" t="s">
        <v>140</v>
      </c>
    </row>
    <row r="196" spans="2:2" hidden="1" x14ac:dyDescent="0.25">
      <c r="B196" t="s">
        <v>141</v>
      </c>
    </row>
    <row r="197" spans="2:2" hidden="1" x14ac:dyDescent="0.25">
      <c r="B197" t="s">
        <v>142</v>
      </c>
    </row>
    <row r="198" spans="2:2" hidden="1" x14ac:dyDescent="0.25">
      <c r="B198" t="s">
        <v>143</v>
      </c>
    </row>
    <row r="199" spans="2:2" hidden="1" x14ac:dyDescent="0.25">
      <c r="B199" t="s">
        <v>144</v>
      </c>
    </row>
    <row r="200" spans="2:2" hidden="1" x14ac:dyDescent="0.25">
      <c r="B200" t="s">
        <v>145</v>
      </c>
    </row>
    <row r="201" spans="2:2" hidden="1" x14ac:dyDescent="0.25">
      <c r="B201" t="s">
        <v>146</v>
      </c>
    </row>
    <row r="202" spans="2:2" hidden="1" x14ac:dyDescent="0.25">
      <c r="B202" t="s">
        <v>147</v>
      </c>
    </row>
    <row r="203" spans="2:2" hidden="1" x14ac:dyDescent="0.25">
      <c r="B203" t="s">
        <v>148</v>
      </c>
    </row>
    <row r="204" spans="2:2" hidden="1" x14ac:dyDescent="0.25">
      <c r="B204" t="s">
        <v>149</v>
      </c>
    </row>
    <row r="205" spans="2:2" hidden="1" x14ac:dyDescent="0.25">
      <c r="B205" t="s">
        <v>150</v>
      </c>
    </row>
    <row r="206" spans="2:2" hidden="1" x14ac:dyDescent="0.25">
      <c r="B206" t="s">
        <v>151</v>
      </c>
    </row>
    <row r="207" spans="2:2" hidden="1" x14ac:dyDescent="0.25">
      <c r="B207" t="s">
        <v>152</v>
      </c>
    </row>
    <row r="208" spans="2:2" hidden="1" x14ac:dyDescent="0.25">
      <c r="B208" t="s">
        <v>153</v>
      </c>
    </row>
    <row r="209" spans="2:2" hidden="1" x14ac:dyDescent="0.25">
      <c r="B209" t="s">
        <v>154</v>
      </c>
    </row>
    <row r="210" spans="2:2" hidden="1" x14ac:dyDescent="0.25">
      <c r="B210" t="s">
        <v>155</v>
      </c>
    </row>
    <row r="211" spans="2:2" hidden="1" x14ac:dyDescent="0.25">
      <c r="B211" t="s">
        <v>156</v>
      </c>
    </row>
    <row r="212" spans="2:2" hidden="1" x14ac:dyDescent="0.25">
      <c r="B212" t="s">
        <v>157</v>
      </c>
    </row>
    <row r="213" spans="2:2" hidden="1" x14ac:dyDescent="0.25">
      <c r="B213" t="s">
        <v>158</v>
      </c>
    </row>
    <row r="214" spans="2:2" hidden="1" x14ac:dyDescent="0.25">
      <c r="B214" t="s">
        <v>159</v>
      </c>
    </row>
    <row r="215" spans="2:2" hidden="1" x14ac:dyDescent="0.25">
      <c r="B215" t="s">
        <v>160</v>
      </c>
    </row>
    <row r="216" spans="2:2" hidden="1" x14ac:dyDescent="0.25">
      <c r="B216" t="s">
        <v>161</v>
      </c>
    </row>
    <row r="217" spans="2:2" hidden="1" x14ac:dyDescent="0.25">
      <c r="B217" t="s">
        <v>162</v>
      </c>
    </row>
    <row r="218" spans="2:2" hidden="1" x14ac:dyDescent="0.25">
      <c r="B218" t="s">
        <v>163</v>
      </c>
    </row>
    <row r="219" spans="2:2" hidden="1" x14ac:dyDescent="0.25">
      <c r="B219" t="s">
        <v>164</v>
      </c>
    </row>
  </sheetData>
  <sheetProtection sheet="1" objects="1" scenarios="1" selectLockedCells="1"/>
  <phoneticPr fontId="3" type="noConversion"/>
  <conditionalFormatting sqref="B4:C5">
    <cfRule type="expression" dxfId="33" priority="42">
      <formula>NOT($A$3)</formula>
    </cfRule>
  </conditionalFormatting>
  <conditionalFormatting sqref="B8:C24">
    <cfRule type="expression" dxfId="32" priority="51">
      <formula>NOT($A$7)</formula>
    </cfRule>
  </conditionalFormatting>
  <conditionalFormatting sqref="B27:C43">
    <cfRule type="expression" dxfId="31" priority="49">
      <formula>NOT($A$26)</formula>
    </cfRule>
  </conditionalFormatting>
  <conditionalFormatting sqref="B46:C62">
    <cfRule type="expression" dxfId="30" priority="50">
      <formula>NOT($A$45)</formula>
    </cfRule>
  </conditionalFormatting>
  <conditionalFormatting sqref="B65:C81">
    <cfRule type="expression" dxfId="29" priority="48">
      <formula>NOT($A$64)</formula>
    </cfRule>
  </conditionalFormatting>
  <conditionalFormatting sqref="B84:C100">
    <cfRule type="expression" dxfId="28" priority="46">
      <formula>NOT($A$83)</formula>
    </cfRule>
  </conditionalFormatting>
  <conditionalFormatting sqref="B103:C119">
    <cfRule type="expression" dxfId="27" priority="45">
      <formula>NOT($A$102)</formula>
    </cfRule>
  </conditionalFormatting>
  <conditionalFormatting sqref="B122:C138">
    <cfRule type="expression" dxfId="26" priority="44">
      <formula>NOT($A$121)</formula>
    </cfRule>
  </conditionalFormatting>
  <conditionalFormatting sqref="B141:C157">
    <cfRule type="expression" dxfId="25" priority="43">
      <formula>NOT($A$140)</formula>
    </cfRule>
  </conditionalFormatting>
  <conditionalFormatting sqref="C3">
    <cfRule type="expression" dxfId="24" priority="36">
      <formula>$A$3</formula>
    </cfRule>
  </conditionalFormatting>
  <conditionalFormatting sqref="C7">
    <cfRule type="expression" dxfId="23" priority="38">
      <formula>$A$7</formula>
    </cfRule>
  </conditionalFormatting>
  <conditionalFormatting sqref="C9">
    <cfRule type="expression" dxfId="22" priority="25">
      <formula>(HEX2DEC(C9)=HEX2DEC(A9))</formula>
    </cfRule>
  </conditionalFormatting>
  <conditionalFormatting sqref="C26">
    <cfRule type="expression" dxfId="21" priority="39">
      <formula>$A$26</formula>
    </cfRule>
  </conditionalFormatting>
  <conditionalFormatting sqref="C28">
    <cfRule type="expression" dxfId="20" priority="7">
      <formula>(HEX2DEC(C28)=HEX2DEC(A28))</formula>
    </cfRule>
  </conditionalFormatting>
  <conditionalFormatting sqref="C45">
    <cfRule type="expression" dxfId="19" priority="37">
      <formula>$A$45</formula>
    </cfRule>
  </conditionalFormatting>
  <conditionalFormatting sqref="C47">
    <cfRule type="expression" dxfId="18" priority="6">
      <formula>(HEX2DEC(C47)=HEX2DEC(A47))</formula>
    </cfRule>
  </conditionalFormatting>
  <conditionalFormatting sqref="C64">
    <cfRule type="expression" dxfId="17" priority="35">
      <formula>$A$64</formula>
    </cfRule>
  </conditionalFormatting>
  <conditionalFormatting sqref="C66">
    <cfRule type="expression" dxfId="16" priority="5">
      <formula>(HEX2DEC(C66)=HEX2DEC(A66))</formula>
    </cfRule>
  </conditionalFormatting>
  <conditionalFormatting sqref="C83">
    <cfRule type="expression" dxfId="15" priority="34">
      <formula>$A$83</formula>
    </cfRule>
  </conditionalFormatting>
  <conditionalFormatting sqref="C85">
    <cfRule type="expression" dxfId="14" priority="4">
      <formula>(HEX2DEC(C85)=HEX2DEC(A85))</formula>
    </cfRule>
  </conditionalFormatting>
  <conditionalFormatting sqref="C102">
    <cfRule type="expression" dxfId="13" priority="33">
      <formula>$A$102</formula>
    </cfRule>
  </conditionalFormatting>
  <conditionalFormatting sqref="C104">
    <cfRule type="expression" dxfId="12" priority="3">
      <formula>(HEX2DEC(C104)=HEX2DEC(A104))</formula>
    </cfRule>
  </conditionalFormatting>
  <conditionalFormatting sqref="C121">
    <cfRule type="expression" dxfId="11" priority="32">
      <formula>$A$121</formula>
    </cfRule>
  </conditionalFormatting>
  <conditionalFormatting sqref="C123">
    <cfRule type="expression" dxfId="10" priority="2">
      <formula>(HEX2DEC(C123)=HEX2DEC(A123))</formula>
    </cfRule>
  </conditionalFormatting>
  <conditionalFormatting sqref="C140">
    <cfRule type="expression" dxfId="9" priority="31">
      <formula>$A$140</formula>
    </cfRule>
  </conditionalFormatting>
  <conditionalFormatting sqref="C142">
    <cfRule type="expression" dxfId="8" priority="1">
      <formula>(HEX2DEC(C142)=HEX2DEC(A142))</formula>
    </cfRule>
  </conditionalFormatting>
  <conditionalFormatting sqref="D9:E11">
    <cfRule type="expression" dxfId="7" priority="23">
      <formula>$A$7</formula>
    </cfRule>
  </conditionalFormatting>
  <conditionalFormatting sqref="D28:E30">
    <cfRule type="expression" dxfId="6" priority="14">
      <formula>$A$26</formula>
    </cfRule>
  </conditionalFormatting>
  <conditionalFormatting sqref="D47:E49">
    <cfRule type="expression" dxfId="5" priority="13">
      <formula>$A$45</formula>
    </cfRule>
  </conditionalFormatting>
  <conditionalFormatting sqref="D66:E68">
    <cfRule type="expression" dxfId="4" priority="12">
      <formula>$A$64</formula>
    </cfRule>
  </conditionalFormatting>
  <conditionalFormatting sqref="D85:E87">
    <cfRule type="expression" dxfId="3" priority="11">
      <formula>$A$83</formula>
    </cfRule>
  </conditionalFormatting>
  <conditionalFormatting sqref="D104:E106">
    <cfRule type="expression" dxfId="2" priority="10">
      <formula>$A$102</formula>
    </cfRule>
  </conditionalFormatting>
  <conditionalFormatting sqref="D123:E125">
    <cfRule type="expression" dxfId="1" priority="9">
      <formula>$A$121</formula>
    </cfRule>
  </conditionalFormatting>
  <conditionalFormatting sqref="D142:E144">
    <cfRule type="expression" dxfId="0" priority="8">
      <formula>$A$140</formula>
    </cfRule>
  </conditionalFormatting>
  <hyperlinks>
    <hyperlink ref="C1" r:id="rId1" xr:uid="{219F6B0F-B79A-4F11-BA43-7822FC24657E}"/>
  </hyperlinks>
  <pageMargins left="0.7" right="0.7" top="0.78740157499999996" bottom="0.78740157499999996" header="0.3" footer="0.3"/>
  <pageSetup paperSize="9" orientation="portrait" r:id="rId2"/>
  <ignoredErrors>
    <ignoredError sqref="C85 C47 C104 C142 C123 C66" numberStoredAsText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defaultSize="0" autoFill="0" autoLine="0" autoPict="0">
                <anchor moveWithCells="1">
                  <from>
                    <xdr:col>2</xdr:col>
                    <xdr:colOff>9525</xdr:colOff>
                    <xdr:row>2</xdr:row>
                    <xdr:rowOff>9525</xdr:rowOff>
                  </from>
                  <to>
                    <xdr:col>2</xdr:col>
                    <xdr:colOff>1771650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2</xdr:col>
                    <xdr:colOff>1952625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2</xdr:col>
                    <xdr:colOff>0</xdr:colOff>
                    <xdr:row>4</xdr:row>
                    <xdr:rowOff>9525</xdr:rowOff>
                  </from>
                  <to>
                    <xdr:col>2</xdr:col>
                    <xdr:colOff>1943100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</xdr:row>
                    <xdr:rowOff>9525</xdr:rowOff>
                  </from>
                  <to>
                    <xdr:col>2</xdr:col>
                    <xdr:colOff>1771650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9" name="Check Box 5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9525</xdr:rowOff>
                  </from>
                  <to>
                    <xdr:col>2</xdr:col>
                    <xdr:colOff>1571625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Drop Down 8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2</xdr:col>
                    <xdr:colOff>762000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Check Box 10">
              <controlPr defaultSize="0" autoFill="0" autoLine="0" autoPict="0">
                <anchor moveWithCells="1">
                  <from>
                    <xdr:col>2</xdr:col>
                    <xdr:colOff>1095375</xdr:colOff>
                    <xdr:row>10</xdr:row>
                    <xdr:rowOff>28575</xdr:rowOff>
                  </from>
                  <to>
                    <xdr:col>2</xdr:col>
                    <xdr:colOff>1276350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2" name="Check Box 12">
              <controlPr defaultSize="0" autoFill="0" autoLine="0" autoPict="0">
                <anchor moveWithCells="1">
                  <from>
                    <xdr:col>2</xdr:col>
                    <xdr:colOff>942975</xdr:colOff>
                    <xdr:row>10</xdr:row>
                    <xdr:rowOff>28575</xdr:rowOff>
                  </from>
                  <to>
                    <xdr:col>2</xdr:col>
                    <xdr:colOff>1123950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10</xdr:row>
                    <xdr:rowOff>28575</xdr:rowOff>
                  </from>
                  <to>
                    <xdr:col>2</xdr:col>
                    <xdr:colOff>971550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4" name="Check Box 14">
              <controlPr defaultSize="0" autoFill="0" autoLine="0" autoPict="0">
                <anchor moveWithCells="1">
                  <from>
                    <xdr:col>2</xdr:col>
                    <xdr:colOff>638175</xdr:colOff>
                    <xdr:row>10</xdr:row>
                    <xdr:rowOff>28575</xdr:rowOff>
                  </from>
                  <to>
                    <xdr:col>2</xdr:col>
                    <xdr:colOff>819150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5" name="Check Box 15">
              <controlPr defaultSize="0" autoFill="0" autoLine="0" autoPict="0">
                <anchor moveWithCells="1">
                  <from>
                    <xdr:col>2</xdr:col>
                    <xdr:colOff>476250</xdr:colOff>
                    <xdr:row>10</xdr:row>
                    <xdr:rowOff>28575</xdr:rowOff>
                  </from>
                  <to>
                    <xdr:col>2</xdr:col>
                    <xdr:colOff>657225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6" name="Check Box 16">
              <controlPr defaultSize="0" autoFill="0" autoLine="0" autoPict="0">
                <anchor moveWithCells="1">
                  <from>
                    <xdr:col>2</xdr:col>
                    <xdr:colOff>323850</xdr:colOff>
                    <xdr:row>10</xdr:row>
                    <xdr:rowOff>28575</xdr:rowOff>
                  </from>
                  <to>
                    <xdr:col>2</xdr:col>
                    <xdr:colOff>504825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7" name="Check Box 17">
              <controlPr defaultSize="0" autoFill="0" autoLine="0" autoPict="0">
                <anchor moveWithCells="1">
                  <from>
                    <xdr:col>2</xdr:col>
                    <xdr:colOff>171450</xdr:colOff>
                    <xdr:row>10</xdr:row>
                    <xdr:rowOff>28575</xdr:rowOff>
                  </from>
                  <to>
                    <xdr:col>2</xdr:col>
                    <xdr:colOff>352425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Check Box 18">
              <controlPr defaultSize="0" autoFill="0" autoLine="0" autoPict="0">
                <anchor moveWithCells="1">
                  <from>
                    <xdr:col>2</xdr:col>
                    <xdr:colOff>19050</xdr:colOff>
                    <xdr:row>10</xdr:row>
                    <xdr:rowOff>28575</xdr:rowOff>
                  </from>
                  <to>
                    <xdr:col>2</xdr:col>
                    <xdr:colOff>200025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Drop Down 19">
              <controlPr defaultSize="0" autoLine="0" autoPict="0">
                <anchor moveWithCells="1">
                  <from>
                    <xdr:col>2</xdr:col>
                    <xdr:colOff>0</xdr:colOff>
                    <xdr:row>20</xdr:row>
                    <xdr:rowOff>0</xdr:rowOff>
                  </from>
                  <to>
                    <xdr:col>2</xdr:col>
                    <xdr:colOff>762000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Check Box 20">
              <controlPr defaultSize="0" autoFill="0" autoLine="0" autoPict="0">
                <anchor moveWithCells="1">
                  <from>
                    <xdr:col>2</xdr:col>
                    <xdr:colOff>0</xdr:colOff>
                    <xdr:row>21</xdr:row>
                    <xdr:rowOff>9525</xdr:rowOff>
                  </from>
                  <to>
                    <xdr:col>2</xdr:col>
                    <xdr:colOff>1571625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1" name="Check Box 21">
              <controlPr defaultSize="0" autoFill="0" autoLine="0" autoPict="0">
                <anchor moveWithCells="1">
                  <from>
                    <xdr:col>2</xdr:col>
                    <xdr:colOff>0</xdr:colOff>
                    <xdr:row>22</xdr:row>
                    <xdr:rowOff>9525</xdr:rowOff>
                  </from>
                  <to>
                    <xdr:col>2</xdr:col>
                    <xdr:colOff>1571625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2" name="Drop Down 22">
              <controlPr defaultSize="0" autoLine="0" autoPict="0">
                <anchor moveWithCells="1">
                  <from>
                    <xdr:col>1</xdr:col>
                    <xdr:colOff>2152650</xdr:colOff>
                    <xdr:row>23</xdr:row>
                    <xdr:rowOff>9525</xdr:rowOff>
                  </from>
                  <to>
                    <xdr:col>2</xdr:col>
                    <xdr:colOff>2266950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3" name="Check Box 23">
              <controlPr defaultSize="0" autoFill="0" autoLine="0" autoPict="0">
                <anchor moveWithCells="1">
                  <from>
                    <xdr:col>2</xdr:col>
                    <xdr:colOff>9525</xdr:colOff>
                    <xdr:row>25</xdr:row>
                    <xdr:rowOff>9525</xdr:rowOff>
                  </from>
                  <to>
                    <xdr:col>2</xdr:col>
                    <xdr:colOff>1771650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4" name="Check Box 24">
              <controlPr defaultSize="0" autoFill="0" autoLine="0" autoPict="0">
                <anchor moveWithCells="1">
                  <from>
                    <xdr:col>2</xdr:col>
                    <xdr:colOff>0</xdr:colOff>
                    <xdr:row>26</xdr:row>
                    <xdr:rowOff>9525</xdr:rowOff>
                  </from>
                  <to>
                    <xdr:col>2</xdr:col>
                    <xdr:colOff>1571625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5" name="Drop Down 25">
              <controlPr defaultSize="0" autoLine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2</xdr:col>
                    <xdr:colOff>762000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6" name="Check Box 26">
              <controlPr defaultSize="0" autoFill="0" autoLine="0" autoPict="0">
                <anchor moveWithCells="1">
                  <from>
                    <xdr:col>2</xdr:col>
                    <xdr:colOff>1095375</xdr:colOff>
                    <xdr:row>29</xdr:row>
                    <xdr:rowOff>28575</xdr:rowOff>
                  </from>
                  <to>
                    <xdr:col>2</xdr:col>
                    <xdr:colOff>1276350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7" name="Check Box 27">
              <controlPr defaultSize="0" autoFill="0" autoLine="0" autoPict="0">
                <anchor moveWithCells="1">
                  <from>
                    <xdr:col>2</xdr:col>
                    <xdr:colOff>942975</xdr:colOff>
                    <xdr:row>29</xdr:row>
                    <xdr:rowOff>28575</xdr:rowOff>
                  </from>
                  <to>
                    <xdr:col>2</xdr:col>
                    <xdr:colOff>1123950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8" name="Check Box 28">
              <controlPr defaultSize="0" autoFill="0" autoLine="0" autoPict="0">
                <anchor moveWithCells="1">
                  <from>
                    <xdr:col>2</xdr:col>
                    <xdr:colOff>781050</xdr:colOff>
                    <xdr:row>29</xdr:row>
                    <xdr:rowOff>28575</xdr:rowOff>
                  </from>
                  <to>
                    <xdr:col>2</xdr:col>
                    <xdr:colOff>962025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9" name="Check Box 29">
              <controlPr defaultSize="0" autoFill="0" autoLine="0" autoPict="0">
                <anchor moveWithCells="1">
                  <from>
                    <xdr:col>2</xdr:col>
                    <xdr:colOff>628650</xdr:colOff>
                    <xdr:row>29</xdr:row>
                    <xdr:rowOff>28575</xdr:rowOff>
                  </from>
                  <to>
                    <xdr:col>2</xdr:col>
                    <xdr:colOff>809625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0" name="Check Box 30">
              <controlPr defaultSize="0" autoFill="0" autoLine="0" autoPict="0">
                <anchor moveWithCells="1">
                  <from>
                    <xdr:col>2</xdr:col>
                    <xdr:colOff>476250</xdr:colOff>
                    <xdr:row>29</xdr:row>
                    <xdr:rowOff>28575</xdr:rowOff>
                  </from>
                  <to>
                    <xdr:col>2</xdr:col>
                    <xdr:colOff>657225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1" name="Check Box 31">
              <controlPr defaultSize="0" autoFill="0" autoLine="0" autoPict="0">
                <anchor moveWithCells="1">
                  <from>
                    <xdr:col>2</xdr:col>
                    <xdr:colOff>323850</xdr:colOff>
                    <xdr:row>29</xdr:row>
                    <xdr:rowOff>28575</xdr:rowOff>
                  </from>
                  <to>
                    <xdr:col>2</xdr:col>
                    <xdr:colOff>504825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2" name="Check Box 32">
              <controlPr defaultSize="0" autoFill="0" autoLine="0" autoPict="0">
                <anchor moveWithCells="1">
                  <from>
                    <xdr:col>2</xdr:col>
                    <xdr:colOff>161925</xdr:colOff>
                    <xdr:row>29</xdr:row>
                    <xdr:rowOff>28575</xdr:rowOff>
                  </from>
                  <to>
                    <xdr:col>2</xdr:col>
                    <xdr:colOff>342900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3" name="Check Box 33">
              <controlPr defaultSize="0" autoFill="0" autoLine="0" autoPict="0">
                <anchor moveWithCells="1">
                  <from>
                    <xdr:col>2</xdr:col>
                    <xdr:colOff>9525</xdr:colOff>
                    <xdr:row>29</xdr:row>
                    <xdr:rowOff>28575</xdr:rowOff>
                  </from>
                  <to>
                    <xdr:col>2</xdr:col>
                    <xdr:colOff>190500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4" name="Drop Down 34">
              <controlPr defaultSize="0" autoLine="0" autoPict="0">
                <anchor moveWithCells="1">
                  <from>
                    <xdr:col>2</xdr:col>
                    <xdr:colOff>0</xdr:colOff>
                    <xdr:row>39</xdr:row>
                    <xdr:rowOff>0</xdr:rowOff>
                  </from>
                  <to>
                    <xdr:col>2</xdr:col>
                    <xdr:colOff>762000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5" name="Check Box 35">
              <controlPr defaultSize="0" autoFill="0" autoLine="0" autoPict="0">
                <anchor moveWithCells="1">
                  <from>
                    <xdr:col>2</xdr:col>
                    <xdr:colOff>0</xdr:colOff>
                    <xdr:row>40</xdr:row>
                    <xdr:rowOff>9525</xdr:rowOff>
                  </from>
                  <to>
                    <xdr:col>2</xdr:col>
                    <xdr:colOff>1571625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6" name="Check Box 36">
              <controlPr defaultSize="0" autoFill="0" autoLine="0" autoPict="0">
                <anchor moveWithCells="1">
                  <from>
                    <xdr:col>2</xdr:col>
                    <xdr:colOff>0</xdr:colOff>
                    <xdr:row>41</xdr:row>
                    <xdr:rowOff>9525</xdr:rowOff>
                  </from>
                  <to>
                    <xdr:col>2</xdr:col>
                    <xdr:colOff>1571625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7" name="Drop Down 37">
              <controlPr defaultSize="0" autoLine="0" autoPict="0">
                <anchor moveWithCells="1">
                  <from>
                    <xdr:col>1</xdr:col>
                    <xdr:colOff>2152650</xdr:colOff>
                    <xdr:row>42</xdr:row>
                    <xdr:rowOff>0</xdr:rowOff>
                  </from>
                  <to>
                    <xdr:col>2</xdr:col>
                    <xdr:colOff>2266950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38" name="Drop Down 38">
              <controlPr defaultSize="0" autoLine="0" autoPict="0">
                <anchor moveWithCells="1">
                  <from>
                    <xdr:col>1</xdr:col>
                    <xdr:colOff>2152650</xdr:colOff>
                    <xdr:row>41</xdr:row>
                    <xdr:rowOff>180975</xdr:rowOff>
                  </from>
                  <to>
                    <xdr:col>2</xdr:col>
                    <xdr:colOff>2266950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39" name="Check Box 39">
              <controlPr defaultSize="0" autoFill="0" autoLine="0" autoPict="0">
                <anchor moveWithCells="1">
                  <from>
                    <xdr:col>2</xdr:col>
                    <xdr:colOff>9525</xdr:colOff>
                    <xdr:row>44</xdr:row>
                    <xdr:rowOff>9525</xdr:rowOff>
                  </from>
                  <to>
                    <xdr:col>2</xdr:col>
                    <xdr:colOff>1771650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0" name="Check Box 40">
              <controlPr defaultSize="0" autoFill="0" autoLine="0" autoPict="0">
                <anchor moveWithCells="1">
                  <from>
                    <xdr:col>2</xdr:col>
                    <xdr:colOff>0</xdr:colOff>
                    <xdr:row>45</xdr:row>
                    <xdr:rowOff>9525</xdr:rowOff>
                  </from>
                  <to>
                    <xdr:col>2</xdr:col>
                    <xdr:colOff>1571625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1" name="Drop Down 41">
              <controlPr defaultSize="0" autoLine="0" autoPict="0">
                <anchor moveWithCells="1">
                  <from>
                    <xdr:col>2</xdr:col>
                    <xdr:colOff>0</xdr:colOff>
                    <xdr:row>47</xdr:row>
                    <xdr:rowOff>0</xdr:rowOff>
                  </from>
                  <to>
                    <xdr:col>2</xdr:col>
                    <xdr:colOff>762000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2" name="Check Box 42">
              <controlPr defaultSize="0" autoFill="0" autoLine="0" autoPict="0">
                <anchor moveWithCells="1">
                  <from>
                    <xdr:col>2</xdr:col>
                    <xdr:colOff>1085850</xdr:colOff>
                    <xdr:row>48</xdr:row>
                    <xdr:rowOff>28575</xdr:rowOff>
                  </from>
                  <to>
                    <xdr:col>2</xdr:col>
                    <xdr:colOff>1266825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3" name="Check Box 43">
              <controlPr defaultSize="0" autoFill="0" autoLine="0" autoPict="0">
                <anchor moveWithCells="1">
                  <from>
                    <xdr:col>2</xdr:col>
                    <xdr:colOff>933450</xdr:colOff>
                    <xdr:row>48</xdr:row>
                    <xdr:rowOff>28575</xdr:rowOff>
                  </from>
                  <to>
                    <xdr:col>2</xdr:col>
                    <xdr:colOff>1114425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4" name="Check Box 44">
              <controlPr defaultSize="0" autoFill="0" autoLine="0" autoPict="0">
                <anchor moveWithCells="1">
                  <from>
                    <xdr:col>2</xdr:col>
                    <xdr:colOff>781050</xdr:colOff>
                    <xdr:row>48</xdr:row>
                    <xdr:rowOff>28575</xdr:rowOff>
                  </from>
                  <to>
                    <xdr:col>2</xdr:col>
                    <xdr:colOff>962025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5" name="Check Box 45">
              <controlPr defaultSize="0" autoFill="0" autoLine="0" autoPict="0">
                <anchor moveWithCells="1">
                  <from>
                    <xdr:col>2</xdr:col>
                    <xdr:colOff>628650</xdr:colOff>
                    <xdr:row>48</xdr:row>
                    <xdr:rowOff>28575</xdr:rowOff>
                  </from>
                  <to>
                    <xdr:col>2</xdr:col>
                    <xdr:colOff>809625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6" name="Check Box 46">
              <controlPr defaultSize="0" autoFill="0" autoLine="0" autoPict="0">
                <anchor moveWithCells="1">
                  <from>
                    <xdr:col>2</xdr:col>
                    <xdr:colOff>476250</xdr:colOff>
                    <xdr:row>48</xdr:row>
                    <xdr:rowOff>28575</xdr:rowOff>
                  </from>
                  <to>
                    <xdr:col>2</xdr:col>
                    <xdr:colOff>657225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47" name="Check Box 47">
              <controlPr defaultSize="0" autoFill="0" autoLine="0" autoPict="0">
                <anchor moveWithCells="1">
                  <from>
                    <xdr:col>2</xdr:col>
                    <xdr:colOff>314325</xdr:colOff>
                    <xdr:row>48</xdr:row>
                    <xdr:rowOff>28575</xdr:rowOff>
                  </from>
                  <to>
                    <xdr:col>2</xdr:col>
                    <xdr:colOff>495300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48" name="Check Box 48">
              <controlPr defaultSize="0" autoFill="0" autoLine="0" autoPict="0">
                <anchor moveWithCells="1">
                  <from>
                    <xdr:col>2</xdr:col>
                    <xdr:colOff>161925</xdr:colOff>
                    <xdr:row>48</xdr:row>
                    <xdr:rowOff>28575</xdr:rowOff>
                  </from>
                  <to>
                    <xdr:col>2</xdr:col>
                    <xdr:colOff>342900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49" name="Check Box 49">
              <controlPr defaultSize="0" autoFill="0" autoLine="0" autoPict="0">
                <anchor moveWithCells="1">
                  <from>
                    <xdr:col>2</xdr:col>
                    <xdr:colOff>9525</xdr:colOff>
                    <xdr:row>48</xdr:row>
                    <xdr:rowOff>28575</xdr:rowOff>
                  </from>
                  <to>
                    <xdr:col>2</xdr:col>
                    <xdr:colOff>190500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0" name="Drop Down 50">
              <controlPr defaultSize="0" autoLine="0" autoPict="0">
                <anchor moveWithCells="1">
                  <from>
                    <xdr:col>2</xdr:col>
                    <xdr:colOff>0</xdr:colOff>
                    <xdr:row>58</xdr:row>
                    <xdr:rowOff>0</xdr:rowOff>
                  </from>
                  <to>
                    <xdr:col>2</xdr:col>
                    <xdr:colOff>762000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1" name="Check Box 51">
              <controlPr defaultSize="0" autoFill="0" autoLine="0" autoPict="0">
                <anchor moveWithCells="1">
                  <from>
                    <xdr:col>2</xdr:col>
                    <xdr:colOff>0</xdr:colOff>
                    <xdr:row>59</xdr:row>
                    <xdr:rowOff>9525</xdr:rowOff>
                  </from>
                  <to>
                    <xdr:col>2</xdr:col>
                    <xdr:colOff>1571625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2" name="Check Box 52">
              <controlPr defaultSize="0" autoFill="0" autoLine="0" autoPict="0">
                <anchor moveWithCells="1">
                  <from>
                    <xdr:col>2</xdr:col>
                    <xdr:colOff>0</xdr:colOff>
                    <xdr:row>60</xdr:row>
                    <xdr:rowOff>9525</xdr:rowOff>
                  </from>
                  <to>
                    <xdr:col>2</xdr:col>
                    <xdr:colOff>1571625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3" name="Drop Down 53">
              <controlPr defaultSize="0" autoLine="0" autoPict="0">
                <anchor moveWithCells="1">
                  <from>
                    <xdr:col>1</xdr:col>
                    <xdr:colOff>2152650</xdr:colOff>
                    <xdr:row>60</xdr:row>
                    <xdr:rowOff>180975</xdr:rowOff>
                  </from>
                  <to>
                    <xdr:col>2</xdr:col>
                    <xdr:colOff>2266950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4" name="Check Box 54">
              <controlPr defaultSize="0" autoFill="0" autoLine="0" autoPict="0">
                <anchor moveWithCells="1">
                  <from>
                    <xdr:col>2</xdr:col>
                    <xdr:colOff>9525</xdr:colOff>
                    <xdr:row>63</xdr:row>
                    <xdr:rowOff>9525</xdr:rowOff>
                  </from>
                  <to>
                    <xdr:col>2</xdr:col>
                    <xdr:colOff>1771650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5" name="Check Box 55">
              <controlPr defaultSize="0" autoFill="0" autoLine="0" autoPict="0">
                <anchor moveWithCells="1">
                  <from>
                    <xdr:col>2</xdr:col>
                    <xdr:colOff>0</xdr:colOff>
                    <xdr:row>64</xdr:row>
                    <xdr:rowOff>9525</xdr:rowOff>
                  </from>
                  <to>
                    <xdr:col>2</xdr:col>
                    <xdr:colOff>1571625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6" name="Drop Down 56">
              <controlPr defaultSize="0" autoLine="0" autoPict="0">
                <anchor moveWithCells="1">
                  <from>
                    <xdr:col>2</xdr:col>
                    <xdr:colOff>0</xdr:colOff>
                    <xdr:row>66</xdr:row>
                    <xdr:rowOff>0</xdr:rowOff>
                  </from>
                  <to>
                    <xdr:col>2</xdr:col>
                    <xdr:colOff>762000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57" name="Check Box 57">
              <controlPr defaultSize="0" autoFill="0" autoLine="0" autoPict="0">
                <anchor moveWithCells="1">
                  <from>
                    <xdr:col>2</xdr:col>
                    <xdr:colOff>1085850</xdr:colOff>
                    <xdr:row>67</xdr:row>
                    <xdr:rowOff>28575</xdr:rowOff>
                  </from>
                  <to>
                    <xdr:col>2</xdr:col>
                    <xdr:colOff>1266825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58" name="Check Box 58">
              <controlPr defaultSize="0" autoFill="0" autoLine="0" autoPict="0">
                <anchor moveWithCells="1">
                  <from>
                    <xdr:col>2</xdr:col>
                    <xdr:colOff>933450</xdr:colOff>
                    <xdr:row>67</xdr:row>
                    <xdr:rowOff>28575</xdr:rowOff>
                  </from>
                  <to>
                    <xdr:col>2</xdr:col>
                    <xdr:colOff>1114425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59" name="Check Box 59">
              <controlPr defaultSize="0" autoFill="0" autoLine="0" autoPict="0">
                <anchor moveWithCells="1">
                  <from>
                    <xdr:col>2</xdr:col>
                    <xdr:colOff>781050</xdr:colOff>
                    <xdr:row>67</xdr:row>
                    <xdr:rowOff>28575</xdr:rowOff>
                  </from>
                  <to>
                    <xdr:col>2</xdr:col>
                    <xdr:colOff>962025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60" name="Check Box 60">
              <controlPr defaultSize="0" autoFill="0" autoLine="0" autoPict="0">
                <anchor moveWithCells="1">
                  <from>
                    <xdr:col>2</xdr:col>
                    <xdr:colOff>619125</xdr:colOff>
                    <xdr:row>67</xdr:row>
                    <xdr:rowOff>28575</xdr:rowOff>
                  </from>
                  <to>
                    <xdr:col>2</xdr:col>
                    <xdr:colOff>800100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61" name="Check Box 61">
              <controlPr defaultSize="0" autoFill="0" autoLine="0" autoPict="0">
                <anchor moveWithCells="1">
                  <from>
                    <xdr:col>2</xdr:col>
                    <xdr:colOff>466725</xdr:colOff>
                    <xdr:row>67</xdr:row>
                    <xdr:rowOff>28575</xdr:rowOff>
                  </from>
                  <to>
                    <xdr:col>2</xdr:col>
                    <xdr:colOff>647700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62" name="Check Box 62">
              <controlPr defaultSize="0" autoFill="0" autoLine="0" autoPict="0">
                <anchor moveWithCells="1">
                  <from>
                    <xdr:col>2</xdr:col>
                    <xdr:colOff>314325</xdr:colOff>
                    <xdr:row>67</xdr:row>
                    <xdr:rowOff>28575</xdr:rowOff>
                  </from>
                  <to>
                    <xdr:col>2</xdr:col>
                    <xdr:colOff>495300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63" name="Check Box 63">
              <controlPr defaultSize="0" autoFill="0" autoLine="0" autoPict="0">
                <anchor moveWithCells="1">
                  <from>
                    <xdr:col>2</xdr:col>
                    <xdr:colOff>161925</xdr:colOff>
                    <xdr:row>67</xdr:row>
                    <xdr:rowOff>28575</xdr:rowOff>
                  </from>
                  <to>
                    <xdr:col>2</xdr:col>
                    <xdr:colOff>342900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64" name="Check Box 64">
              <controlPr defaultSize="0" autoFill="0" autoLine="0" autoPict="0">
                <anchor moveWithCells="1">
                  <from>
                    <xdr:col>2</xdr:col>
                    <xdr:colOff>9525</xdr:colOff>
                    <xdr:row>67</xdr:row>
                    <xdr:rowOff>28575</xdr:rowOff>
                  </from>
                  <to>
                    <xdr:col>2</xdr:col>
                    <xdr:colOff>190500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65" name="Drop Down 65">
              <controlPr defaultSize="0" autoLine="0" autoPict="0">
                <anchor moveWithCells="1">
                  <from>
                    <xdr:col>2</xdr:col>
                    <xdr:colOff>0</xdr:colOff>
                    <xdr:row>77</xdr:row>
                    <xdr:rowOff>0</xdr:rowOff>
                  </from>
                  <to>
                    <xdr:col>2</xdr:col>
                    <xdr:colOff>762000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66" name="Check Box 66">
              <controlPr defaultSize="0" autoFill="0" autoLine="0" autoPict="0">
                <anchor moveWithCells="1">
                  <from>
                    <xdr:col>2</xdr:col>
                    <xdr:colOff>0</xdr:colOff>
                    <xdr:row>78</xdr:row>
                    <xdr:rowOff>9525</xdr:rowOff>
                  </from>
                  <to>
                    <xdr:col>2</xdr:col>
                    <xdr:colOff>1571625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67" name="Check Box 67">
              <controlPr defaultSize="0" autoFill="0" autoLine="0" autoPict="0">
                <anchor moveWithCells="1">
                  <from>
                    <xdr:col>2</xdr:col>
                    <xdr:colOff>0</xdr:colOff>
                    <xdr:row>79</xdr:row>
                    <xdr:rowOff>9525</xdr:rowOff>
                  </from>
                  <to>
                    <xdr:col>2</xdr:col>
                    <xdr:colOff>1571625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68" name="Drop Down 68">
              <controlPr defaultSize="0" autoLine="0" autoPict="0">
                <anchor moveWithCells="1">
                  <from>
                    <xdr:col>1</xdr:col>
                    <xdr:colOff>2152650</xdr:colOff>
                    <xdr:row>79</xdr:row>
                    <xdr:rowOff>180975</xdr:rowOff>
                  </from>
                  <to>
                    <xdr:col>2</xdr:col>
                    <xdr:colOff>2266950</xdr:colOff>
                    <xdr:row>80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69" name="Check Box 84">
              <controlPr defaultSize="0" autoFill="0" autoLine="0" autoPict="0">
                <anchor moveWithCells="1">
                  <from>
                    <xdr:col>2</xdr:col>
                    <xdr:colOff>9525</xdr:colOff>
                    <xdr:row>82</xdr:row>
                    <xdr:rowOff>9525</xdr:rowOff>
                  </from>
                  <to>
                    <xdr:col>2</xdr:col>
                    <xdr:colOff>1771650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70" name="Check Box 85">
              <controlPr defaultSize="0" autoFill="0" autoLine="0" autoPict="0">
                <anchor moveWithCells="1">
                  <from>
                    <xdr:col>2</xdr:col>
                    <xdr:colOff>0</xdr:colOff>
                    <xdr:row>83</xdr:row>
                    <xdr:rowOff>9525</xdr:rowOff>
                  </from>
                  <to>
                    <xdr:col>2</xdr:col>
                    <xdr:colOff>1571625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71" name="Drop Down 86">
              <controlPr defaultSize="0" autoLine="0" autoPict="0">
                <anchor moveWithCells="1">
                  <from>
                    <xdr:col>2</xdr:col>
                    <xdr:colOff>0</xdr:colOff>
                    <xdr:row>85</xdr:row>
                    <xdr:rowOff>0</xdr:rowOff>
                  </from>
                  <to>
                    <xdr:col>2</xdr:col>
                    <xdr:colOff>762000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72" name="Check Box 87">
              <controlPr defaultSize="0" autoFill="0" autoLine="0" autoPict="0">
                <anchor moveWithCells="1">
                  <from>
                    <xdr:col>2</xdr:col>
                    <xdr:colOff>1085850</xdr:colOff>
                    <xdr:row>86</xdr:row>
                    <xdr:rowOff>28575</xdr:rowOff>
                  </from>
                  <to>
                    <xdr:col>2</xdr:col>
                    <xdr:colOff>1266825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73" name="Check Box 88">
              <controlPr defaultSize="0" autoFill="0" autoLine="0" autoPict="0">
                <anchor moveWithCells="1">
                  <from>
                    <xdr:col>2</xdr:col>
                    <xdr:colOff>933450</xdr:colOff>
                    <xdr:row>86</xdr:row>
                    <xdr:rowOff>28575</xdr:rowOff>
                  </from>
                  <to>
                    <xdr:col>2</xdr:col>
                    <xdr:colOff>1114425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74" name="Check Box 89">
              <controlPr defaultSize="0" autoFill="0" autoLine="0" autoPict="0">
                <anchor moveWithCells="1">
                  <from>
                    <xdr:col>2</xdr:col>
                    <xdr:colOff>781050</xdr:colOff>
                    <xdr:row>86</xdr:row>
                    <xdr:rowOff>28575</xdr:rowOff>
                  </from>
                  <to>
                    <xdr:col>2</xdr:col>
                    <xdr:colOff>962025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75" name="Check Box 90">
              <controlPr defaultSize="0" autoFill="0" autoLine="0" autoPict="0">
                <anchor moveWithCells="1">
                  <from>
                    <xdr:col>2</xdr:col>
                    <xdr:colOff>628650</xdr:colOff>
                    <xdr:row>86</xdr:row>
                    <xdr:rowOff>28575</xdr:rowOff>
                  </from>
                  <to>
                    <xdr:col>2</xdr:col>
                    <xdr:colOff>809625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76" name="Check Box 91">
              <controlPr defaultSize="0" autoFill="0" autoLine="0" autoPict="0">
                <anchor moveWithCells="1">
                  <from>
                    <xdr:col>2</xdr:col>
                    <xdr:colOff>476250</xdr:colOff>
                    <xdr:row>86</xdr:row>
                    <xdr:rowOff>28575</xdr:rowOff>
                  </from>
                  <to>
                    <xdr:col>2</xdr:col>
                    <xdr:colOff>657225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77" name="Check Box 92">
              <controlPr defaultSize="0" autoFill="0" autoLine="0" autoPict="0">
                <anchor moveWithCells="1">
                  <from>
                    <xdr:col>2</xdr:col>
                    <xdr:colOff>314325</xdr:colOff>
                    <xdr:row>86</xdr:row>
                    <xdr:rowOff>28575</xdr:rowOff>
                  </from>
                  <to>
                    <xdr:col>2</xdr:col>
                    <xdr:colOff>495300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78" name="Check Box 93">
              <controlPr defaultSize="0" autoFill="0" autoLine="0" autoPict="0">
                <anchor moveWithCells="1">
                  <from>
                    <xdr:col>2</xdr:col>
                    <xdr:colOff>161925</xdr:colOff>
                    <xdr:row>86</xdr:row>
                    <xdr:rowOff>28575</xdr:rowOff>
                  </from>
                  <to>
                    <xdr:col>2</xdr:col>
                    <xdr:colOff>342900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79" name="Check Box 94">
              <controlPr defaultSize="0" autoFill="0" autoLine="0" autoPict="0">
                <anchor moveWithCells="1">
                  <from>
                    <xdr:col>2</xdr:col>
                    <xdr:colOff>9525</xdr:colOff>
                    <xdr:row>86</xdr:row>
                    <xdr:rowOff>28575</xdr:rowOff>
                  </from>
                  <to>
                    <xdr:col>2</xdr:col>
                    <xdr:colOff>190500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80" name="Drop Down 95">
              <controlPr defaultSize="0" autoLine="0" autoPict="0">
                <anchor moveWithCells="1">
                  <from>
                    <xdr:col>2</xdr:col>
                    <xdr:colOff>0</xdr:colOff>
                    <xdr:row>96</xdr:row>
                    <xdr:rowOff>0</xdr:rowOff>
                  </from>
                  <to>
                    <xdr:col>2</xdr:col>
                    <xdr:colOff>762000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81" name="Check Box 96">
              <controlPr defaultSize="0" autoFill="0" autoLine="0" autoPict="0">
                <anchor moveWithCells="1">
                  <from>
                    <xdr:col>2</xdr:col>
                    <xdr:colOff>0</xdr:colOff>
                    <xdr:row>97</xdr:row>
                    <xdr:rowOff>9525</xdr:rowOff>
                  </from>
                  <to>
                    <xdr:col>2</xdr:col>
                    <xdr:colOff>1571625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82" name="Check Box 97">
              <controlPr defaultSize="0" autoFill="0" autoLine="0" autoPict="0">
                <anchor moveWithCells="1">
                  <from>
                    <xdr:col>2</xdr:col>
                    <xdr:colOff>0</xdr:colOff>
                    <xdr:row>98</xdr:row>
                    <xdr:rowOff>9525</xdr:rowOff>
                  </from>
                  <to>
                    <xdr:col>2</xdr:col>
                    <xdr:colOff>1571625</xdr:colOff>
                    <xdr:row>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83" name="Drop Down 98">
              <controlPr defaultSize="0" autoLine="0" autoPict="0">
                <anchor moveWithCells="1">
                  <from>
                    <xdr:col>1</xdr:col>
                    <xdr:colOff>2152650</xdr:colOff>
                    <xdr:row>98</xdr:row>
                    <xdr:rowOff>180975</xdr:rowOff>
                  </from>
                  <to>
                    <xdr:col>2</xdr:col>
                    <xdr:colOff>2266950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84" name="Check Box 100">
              <controlPr defaultSize="0" autoFill="0" autoLine="0" autoPict="0">
                <anchor moveWithCells="1">
                  <from>
                    <xdr:col>2</xdr:col>
                    <xdr:colOff>9525</xdr:colOff>
                    <xdr:row>101</xdr:row>
                    <xdr:rowOff>9525</xdr:rowOff>
                  </from>
                  <to>
                    <xdr:col>2</xdr:col>
                    <xdr:colOff>1771650</xdr:colOff>
                    <xdr:row>102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85" name="Check Box 101">
              <controlPr defaultSize="0" autoFill="0" autoLine="0" autoPict="0">
                <anchor moveWithCells="1">
                  <from>
                    <xdr:col>2</xdr:col>
                    <xdr:colOff>0</xdr:colOff>
                    <xdr:row>102</xdr:row>
                    <xdr:rowOff>9525</xdr:rowOff>
                  </from>
                  <to>
                    <xdr:col>2</xdr:col>
                    <xdr:colOff>1571625</xdr:colOff>
                    <xdr:row>103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6" name="Drop Down 102">
              <controlPr defaultSize="0" autoLine="0" autoPict="0">
                <anchor moveWithCells="1">
                  <from>
                    <xdr:col>2</xdr:col>
                    <xdr:colOff>0</xdr:colOff>
                    <xdr:row>104</xdr:row>
                    <xdr:rowOff>0</xdr:rowOff>
                  </from>
                  <to>
                    <xdr:col>2</xdr:col>
                    <xdr:colOff>762000</xdr:colOff>
                    <xdr:row>105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87" name="Check Box 103">
              <controlPr defaultSize="0" autoFill="0" autoLine="0" autoPict="0">
                <anchor moveWithCells="1">
                  <from>
                    <xdr:col>2</xdr:col>
                    <xdr:colOff>1085850</xdr:colOff>
                    <xdr:row>105</xdr:row>
                    <xdr:rowOff>28575</xdr:rowOff>
                  </from>
                  <to>
                    <xdr:col>2</xdr:col>
                    <xdr:colOff>1266825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88" name="Check Box 104">
              <controlPr defaultSize="0" autoFill="0" autoLine="0" autoPict="0">
                <anchor moveWithCells="1">
                  <from>
                    <xdr:col>2</xdr:col>
                    <xdr:colOff>933450</xdr:colOff>
                    <xdr:row>105</xdr:row>
                    <xdr:rowOff>28575</xdr:rowOff>
                  </from>
                  <to>
                    <xdr:col>2</xdr:col>
                    <xdr:colOff>1114425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89" name="Check Box 105">
              <controlPr defaultSize="0" autoFill="0" autoLine="0" autoPict="0">
                <anchor moveWithCells="1">
                  <from>
                    <xdr:col>2</xdr:col>
                    <xdr:colOff>781050</xdr:colOff>
                    <xdr:row>105</xdr:row>
                    <xdr:rowOff>28575</xdr:rowOff>
                  </from>
                  <to>
                    <xdr:col>2</xdr:col>
                    <xdr:colOff>962025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90" name="Check Box 106">
              <controlPr defaultSize="0" autoFill="0" autoLine="0" autoPict="0">
                <anchor moveWithCells="1">
                  <from>
                    <xdr:col>2</xdr:col>
                    <xdr:colOff>628650</xdr:colOff>
                    <xdr:row>105</xdr:row>
                    <xdr:rowOff>28575</xdr:rowOff>
                  </from>
                  <to>
                    <xdr:col>2</xdr:col>
                    <xdr:colOff>809625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91" name="Check Box 107">
              <controlPr defaultSize="0" autoFill="0" autoLine="0" autoPict="0">
                <anchor moveWithCells="1">
                  <from>
                    <xdr:col>2</xdr:col>
                    <xdr:colOff>476250</xdr:colOff>
                    <xdr:row>105</xdr:row>
                    <xdr:rowOff>28575</xdr:rowOff>
                  </from>
                  <to>
                    <xdr:col>2</xdr:col>
                    <xdr:colOff>657225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92" name="Check Box 108">
              <controlPr defaultSize="0" autoFill="0" autoLine="0" autoPict="0">
                <anchor moveWithCells="1">
                  <from>
                    <xdr:col>2</xdr:col>
                    <xdr:colOff>314325</xdr:colOff>
                    <xdr:row>105</xdr:row>
                    <xdr:rowOff>28575</xdr:rowOff>
                  </from>
                  <to>
                    <xdr:col>2</xdr:col>
                    <xdr:colOff>495300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93" name="Check Box 109">
              <controlPr defaultSize="0" autoFill="0" autoLine="0" autoPict="0">
                <anchor moveWithCells="1">
                  <from>
                    <xdr:col>2</xdr:col>
                    <xdr:colOff>161925</xdr:colOff>
                    <xdr:row>105</xdr:row>
                    <xdr:rowOff>28575</xdr:rowOff>
                  </from>
                  <to>
                    <xdr:col>2</xdr:col>
                    <xdr:colOff>342900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94" name="Check Box 110">
              <controlPr defaultSize="0" autoFill="0" autoLine="0" autoPict="0">
                <anchor moveWithCells="1">
                  <from>
                    <xdr:col>2</xdr:col>
                    <xdr:colOff>9525</xdr:colOff>
                    <xdr:row>105</xdr:row>
                    <xdr:rowOff>28575</xdr:rowOff>
                  </from>
                  <to>
                    <xdr:col>2</xdr:col>
                    <xdr:colOff>190500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95" name="Drop Down 111">
              <controlPr defaultSize="0" autoLine="0" autoPict="0">
                <anchor moveWithCells="1">
                  <from>
                    <xdr:col>2</xdr:col>
                    <xdr:colOff>0</xdr:colOff>
                    <xdr:row>115</xdr:row>
                    <xdr:rowOff>0</xdr:rowOff>
                  </from>
                  <to>
                    <xdr:col>2</xdr:col>
                    <xdr:colOff>762000</xdr:colOff>
                    <xdr:row>116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96" name="Check Box 112">
              <controlPr defaultSize="0" autoFill="0" autoLine="0" autoPict="0">
                <anchor moveWithCells="1">
                  <from>
                    <xdr:col>2</xdr:col>
                    <xdr:colOff>0</xdr:colOff>
                    <xdr:row>116</xdr:row>
                    <xdr:rowOff>9525</xdr:rowOff>
                  </from>
                  <to>
                    <xdr:col>2</xdr:col>
                    <xdr:colOff>1571625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97" name="Check Box 113">
              <controlPr defaultSize="0" autoFill="0" autoLine="0" autoPict="0">
                <anchor moveWithCells="1">
                  <from>
                    <xdr:col>2</xdr:col>
                    <xdr:colOff>0</xdr:colOff>
                    <xdr:row>117</xdr:row>
                    <xdr:rowOff>9525</xdr:rowOff>
                  </from>
                  <to>
                    <xdr:col>2</xdr:col>
                    <xdr:colOff>1571625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98" name="Drop Down 114">
              <controlPr defaultSize="0" autoLine="0" autoPict="0">
                <anchor moveWithCells="1">
                  <from>
                    <xdr:col>1</xdr:col>
                    <xdr:colOff>2152650</xdr:colOff>
                    <xdr:row>117</xdr:row>
                    <xdr:rowOff>180975</xdr:rowOff>
                  </from>
                  <to>
                    <xdr:col>2</xdr:col>
                    <xdr:colOff>2266950</xdr:colOff>
                    <xdr:row>118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99" name="Check Box 115">
              <controlPr defaultSize="0" autoFill="0" autoLine="0" autoPict="0">
                <anchor moveWithCells="1">
                  <from>
                    <xdr:col>2</xdr:col>
                    <xdr:colOff>9525</xdr:colOff>
                    <xdr:row>120</xdr:row>
                    <xdr:rowOff>9525</xdr:rowOff>
                  </from>
                  <to>
                    <xdr:col>2</xdr:col>
                    <xdr:colOff>1771650</xdr:colOff>
                    <xdr:row>121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100" name="Check Box 116">
              <controlPr defaultSize="0" autoFill="0" autoLine="0" autoPict="0">
                <anchor moveWithCells="1">
                  <from>
                    <xdr:col>2</xdr:col>
                    <xdr:colOff>0</xdr:colOff>
                    <xdr:row>121</xdr:row>
                    <xdr:rowOff>9525</xdr:rowOff>
                  </from>
                  <to>
                    <xdr:col>2</xdr:col>
                    <xdr:colOff>1571625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101" name="Drop Down 117">
              <controlPr defaultSize="0" autoLine="0" autoPict="0">
                <anchor moveWithCells="1">
                  <from>
                    <xdr:col>2</xdr:col>
                    <xdr:colOff>0</xdr:colOff>
                    <xdr:row>123</xdr:row>
                    <xdr:rowOff>0</xdr:rowOff>
                  </from>
                  <to>
                    <xdr:col>2</xdr:col>
                    <xdr:colOff>762000</xdr:colOff>
                    <xdr:row>124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102" name="Check Box 118">
              <controlPr defaultSize="0" autoFill="0" autoLine="0" autoPict="0">
                <anchor moveWithCells="1">
                  <from>
                    <xdr:col>2</xdr:col>
                    <xdr:colOff>1085850</xdr:colOff>
                    <xdr:row>124</xdr:row>
                    <xdr:rowOff>28575</xdr:rowOff>
                  </from>
                  <to>
                    <xdr:col>2</xdr:col>
                    <xdr:colOff>1266825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103" name="Check Box 119">
              <controlPr defaultSize="0" autoFill="0" autoLine="0" autoPict="0">
                <anchor moveWithCells="1">
                  <from>
                    <xdr:col>2</xdr:col>
                    <xdr:colOff>933450</xdr:colOff>
                    <xdr:row>124</xdr:row>
                    <xdr:rowOff>28575</xdr:rowOff>
                  </from>
                  <to>
                    <xdr:col>2</xdr:col>
                    <xdr:colOff>1114425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104" name="Check Box 120">
              <controlPr defaultSize="0" autoFill="0" autoLine="0" autoPict="0">
                <anchor moveWithCells="1">
                  <from>
                    <xdr:col>2</xdr:col>
                    <xdr:colOff>781050</xdr:colOff>
                    <xdr:row>124</xdr:row>
                    <xdr:rowOff>28575</xdr:rowOff>
                  </from>
                  <to>
                    <xdr:col>2</xdr:col>
                    <xdr:colOff>962025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105" name="Check Box 121">
              <controlPr defaultSize="0" autoFill="0" autoLine="0" autoPict="0">
                <anchor moveWithCells="1">
                  <from>
                    <xdr:col>2</xdr:col>
                    <xdr:colOff>628650</xdr:colOff>
                    <xdr:row>124</xdr:row>
                    <xdr:rowOff>28575</xdr:rowOff>
                  </from>
                  <to>
                    <xdr:col>2</xdr:col>
                    <xdr:colOff>809625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106" name="Check Box 122">
              <controlPr defaultSize="0" autoFill="0" autoLine="0" autoPict="0">
                <anchor moveWithCells="1">
                  <from>
                    <xdr:col>2</xdr:col>
                    <xdr:colOff>476250</xdr:colOff>
                    <xdr:row>124</xdr:row>
                    <xdr:rowOff>28575</xdr:rowOff>
                  </from>
                  <to>
                    <xdr:col>2</xdr:col>
                    <xdr:colOff>657225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107" name="Check Box 123">
              <controlPr defaultSize="0" autoFill="0" autoLine="0" autoPict="0">
                <anchor moveWithCells="1">
                  <from>
                    <xdr:col>2</xdr:col>
                    <xdr:colOff>314325</xdr:colOff>
                    <xdr:row>124</xdr:row>
                    <xdr:rowOff>28575</xdr:rowOff>
                  </from>
                  <to>
                    <xdr:col>2</xdr:col>
                    <xdr:colOff>495300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108" name="Check Box 124">
              <controlPr defaultSize="0" autoFill="0" autoLine="0" autoPict="0">
                <anchor moveWithCells="1">
                  <from>
                    <xdr:col>2</xdr:col>
                    <xdr:colOff>161925</xdr:colOff>
                    <xdr:row>124</xdr:row>
                    <xdr:rowOff>28575</xdr:rowOff>
                  </from>
                  <to>
                    <xdr:col>2</xdr:col>
                    <xdr:colOff>342900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109" name="Check Box 125">
              <controlPr defaultSize="0" autoFill="0" autoLine="0" autoPict="0">
                <anchor moveWithCells="1">
                  <from>
                    <xdr:col>2</xdr:col>
                    <xdr:colOff>9525</xdr:colOff>
                    <xdr:row>124</xdr:row>
                    <xdr:rowOff>28575</xdr:rowOff>
                  </from>
                  <to>
                    <xdr:col>2</xdr:col>
                    <xdr:colOff>190500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10" name="Drop Down 126">
              <controlPr defaultSize="0" autoLine="0" autoPict="0">
                <anchor moveWithCells="1">
                  <from>
                    <xdr:col>2</xdr:col>
                    <xdr:colOff>0</xdr:colOff>
                    <xdr:row>134</xdr:row>
                    <xdr:rowOff>0</xdr:rowOff>
                  </from>
                  <to>
                    <xdr:col>2</xdr:col>
                    <xdr:colOff>762000</xdr:colOff>
                    <xdr:row>135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11" name="Check Box 127">
              <controlPr defaultSize="0" autoFill="0" autoLine="0" autoPict="0">
                <anchor moveWithCells="1">
                  <from>
                    <xdr:col>2</xdr:col>
                    <xdr:colOff>0</xdr:colOff>
                    <xdr:row>135</xdr:row>
                    <xdr:rowOff>9525</xdr:rowOff>
                  </from>
                  <to>
                    <xdr:col>2</xdr:col>
                    <xdr:colOff>1571625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112" name="Check Box 128">
              <controlPr defaultSize="0" autoFill="0" autoLine="0" autoPict="0">
                <anchor moveWithCells="1">
                  <from>
                    <xdr:col>2</xdr:col>
                    <xdr:colOff>0</xdr:colOff>
                    <xdr:row>136</xdr:row>
                    <xdr:rowOff>9525</xdr:rowOff>
                  </from>
                  <to>
                    <xdr:col>2</xdr:col>
                    <xdr:colOff>1571625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113" name="Drop Down 129">
              <controlPr defaultSize="0" autoLine="0" autoPict="0">
                <anchor moveWithCells="1">
                  <from>
                    <xdr:col>1</xdr:col>
                    <xdr:colOff>2152650</xdr:colOff>
                    <xdr:row>136</xdr:row>
                    <xdr:rowOff>180975</xdr:rowOff>
                  </from>
                  <to>
                    <xdr:col>2</xdr:col>
                    <xdr:colOff>2266950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114" name="Check Box 130">
              <controlPr defaultSize="0" autoFill="0" autoLine="0" autoPict="0">
                <anchor moveWithCells="1">
                  <from>
                    <xdr:col>2</xdr:col>
                    <xdr:colOff>9525</xdr:colOff>
                    <xdr:row>139</xdr:row>
                    <xdr:rowOff>9525</xdr:rowOff>
                  </from>
                  <to>
                    <xdr:col>2</xdr:col>
                    <xdr:colOff>1771650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15" name="Check Box 131">
              <controlPr defaultSize="0" autoFill="0" autoLine="0" autoPict="0">
                <anchor moveWithCells="1">
                  <from>
                    <xdr:col>2</xdr:col>
                    <xdr:colOff>0</xdr:colOff>
                    <xdr:row>140</xdr:row>
                    <xdr:rowOff>9525</xdr:rowOff>
                  </from>
                  <to>
                    <xdr:col>2</xdr:col>
                    <xdr:colOff>1571625</xdr:colOff>
                    <xdr:row>141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116" name="Drop Down 132">
              <controlPr defaultSize="0" autoLine="0" autoPict="0">
                <anchor moveWithCells="1">
                  <from>
                    <xdr:col>2</xdr:col>
                    <xdr:colOff>0</xdr:colOff>
                    <xdr:row>142</xdr:row>
                    <xdr:rowOff>0</xdr:rowOff>
                  </from>
                  <to>
                    <xdr:col>2</xdr:col>
                    <xdr:colOff>762000</xdr:colOff>
                    <xdr:row>143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1" r:id="rId117" name="Check Box 133">
              <controlPr defaultSize="0" autoFill="0" autoLine="0" autoPict="0">
                <anchor moveWithCells="1">
                  <from>
                    <xdr:col>2</xdr:col>
                    <xdr:colOff>1085850</xdr:colOff>
                    <xdr:row>143</xdr:row>
                    <xdr:rowOff>28575</xdr:rowOff>
                  </from>
                  <to>
                    <xdr:col>2</xdr:col>
                    <xdr:colOff>1266825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118" name="Check Box 134">
              <controlPr defaultSize="0" autoFill="0" autoLine="0" autoPict="0">
                <anchor moveWithCells="1">
                  <from>
                    <xdr:col>2</xdr:col>
                    <xdr:colOff>933450</xdr:colOff>
                    <xdr:row>143</xdr:row>
                    <xdr:rowOff>28575</xdr:rowOff>
                  </from>
                  <to>
                    <xdr:col>2</xdr:col>
                    <xdr:colOff>1114425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119" name="Check Box 135">
              <controlPr defaultSize="0" autoFill="0" autoLine="0" autoPict="0">
                <anchor moveWithCells="1">
                  <from>
                    <xdr:col>2</xdr:col>
                    <xdr:colOff>781050</xdr:colOff>
                    <xdr:row>143</xdr:row>
                    <xdr:rowOff>28575</xdr:rowOff>
                  </from>
                  <to>
                    <xdr:col>2</xdr:col>
                    <xdr:colOff>962025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120" name="Check Box 136">
              <controlPr defaultSize="0" autoFill="0" autoLine="0" autoPict="0">
                <anchor moveWithCells="1">
                  <from>
                    <xdr:col>2</xdr:col>
                    <xdr:colOff>628650</xdr:colOff>
                    <xdr:row>143</xdr:row>
                    <xdr:rowOff>28575</xdr:rowOff>
                  </from>
                  <to>
                    <xdr:col>2</xdr:col>
                    <xdr:colOff>809625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121" name="Check Box 137">
              <controlPr defaultSize="0" autoFill="0" autoLine="0" autoPict="0">
                <anchor moveWithCells="1">
                  <from>
                    <xdr:col>2</xdr:col>
                    <xdr:colOff>476250</xdr:colOff>
                    <xdr:row>143</xdr:row>
                    <xdr:rowOff>28575</xdr:rowOff>
                  </from>
                  <to>
                    <xdr:col>2</xdr:col>
                    <xdr:colOff>657225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122" name="Check Box 138">
              <controlPr defaultSize="0" autoFill="0" autoLine="0" autoPict="0">
                <anchor moveWithCells="1">
                  <from>
                    <xdr:col>2</xdr:col>
                    <xdr:colOff>314325</xdr:colOff>
                    <xdr:row>143</xdr:row>
                    <xdr:rowOff>28575</xdr:rowOff>
                  </from>
                  <to>
                    <xdr:col>2</xdr:col>
                    <xdr:colOff>495300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7" r:id="rId123" name="Check Box 139">
              <controlPr defaultSize="0" autoFill="0" autoLine="0" autoPict="0">
                <anchor moveWithCells="1">
                  <from>
                    <xdr:col>2</xdr:col>
                    <xdr:colOff>161925</xdr:colOff>
                    <xdr:row>143</xdr:row>
                    <xdr:rowOff>28575</xdr:rowOff>
                  </from>
                  <to>
                    <xdr:col>2</xdr:col>
                    <xdr:colOff>342900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124" name="Check Box 140">
              <controlPr defaultSize="0" autoFill="0" autoLine="0" autoPict="0">
                <anchor moveWithCells="1">
                  <from>
                    <xdr:col>2</xdr:col>
                    <xdr:colOff>9525</xdr:colOff>
                    <xdr:row>143</xdr:row>
                    <xdr:rowOff>28575</xdr:rowOff>
                  </from>
                  <to>
                    <xdr:col>2</xdr:col>
                    <xdr:colOff>190500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125" name="Drop Down 141">
              <controlPr defaultSize="0" autoLine="0" autoPict="0">
                <anchor moveWithCells="1">
                  <from>
                    <xdr:col>2</xdr:col>
                    <xdr:colOff>0</xdr:colOff>
                    <xdr:row>153</xdr:row>
                    <xdr:rowOff>0</xdr:rowOff>
                  </from>
                  <to>
                    <xdr:col>2</xdr:col>
                    <xdr:colOff>762000</xdr:colOff>
                    <xdr:row>154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126" name="Check Box 142">
              <controlPr defaultSize="0" autoFill="0" autoLine="0" autoPict="0">
                <anchor moveWithCells="1">
                  <from>
                    <xdr:col>2</xdr:col>
                    <xdr:colOff>0</xdr:colOff>
                    <xdr:row>154</xdr:row>
                    <xdr:rowOff>9525</xdr:rowOff>
                  </from>
                  <to>
                    <xdr:col>2</xdr:col>
                    <xdr:colOff>1571625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127" name="Check Box 143">
              <controlPr defaultSize="0" autoFill="0" autoLine="0" autoPict="0">
                <anchor moveWithCells="1">
                  <from>
                    <xdr:col>2</xdr:col>
                    <xdr:colOff>0</xdr:colOff>
                    <xdr:row>155</xdr:row>
                    <xdr:rowOff>9525</xdr:rowOff>
                  </from>
                  <to>
                    <xdr:col>2</xdr:col>
                    <xdr:colOff>1571625</xdr:colOff>
                    <xdr:row>156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2" r:id="rId128" name="Drop Down 144">
              <controlPr defaultSize="0" autoLine="0" autoPict="0">
                <anchor moveWithCells="1">
                  <from>
                    <xdr:col>1</xdr:col>
                    <xdr:colOff>2152650</xdr:colOff>
                    <xdr:row>155</xdr:row>
                    <xdr:rowOff>180975</xdr:rowOff>
                  </from>
                  <to>
                    <xdr:col>2</xdr:col>
                    <xdr:colOff>2266950</xdr:colOff>
                    <xdr:row>156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6821-B2BC-47E0-A69A-F7D50721CAEE}">
  <dimension ref="A1:B997"/>
  <sheetViews>
    <sheetView topLeftCell="B1" zoomScale="160" zoomScaleNormal="160" workbookViewId="0">
      <selection activeCell="B1" sqref="B1"/>
    </sheetView>
  </sheetViews>
  <sheetFormatPr baseColWidth="10" defaultRowHeight="15" x14ac:dyDescent="0.25"/>
  <cols>
    <col min="1" max="1" width="4.140625" hidden="1" customWidth="1"/>
    <col min="2" max="2" width="122.7109375" bestFit="1" customWidth="1"/>
    <col min="3" max="3" width="20.85546875" bestFit="1" customWidth="1"/>
  </cols>
  <sheetData>
    <row r="1" spans="2:2" x14ac:dyDescent="0.25">
      <c r="B1" s="24" t="s">
        <v>170</v>
      </c>
    </row>
    <row r="2" spans="2:2" x14ac:dyDescent="0.25">
      <c r="B2" s="24" t="s">
        <v>250</v>
      </c>
    </row>
    <row r="3" spans="2:2" x14ac:dyDescent="0.25">
      <c r="B3" s="24" t="s">
        <v>214</v>
      </c>
    </row>
    <row r="4" spans="2:2" x14ac:dyDescent="0.25">
      <c r="B4" s="24" t="s">
        <v>252</v>
      </c>
    </row>
    <row r="5" spans="2:2" x14ac:dyDescent="0.25">
      <c r="B5" s="24" t="s">
        <v>253</v>
      </c>
    </row>
    <row r="6" spans="2:2" x14ac:dyDescent="0.25">
      <c r="B6" s="24" t="s">
        <v>172</v>
      </c>
    </row>
    <row r="7" spans="2:2" x14ac:dyDescent="0.25">
      <c r="B7" s="24" t="s">
        <v>260</v>
      </c>
    </row>
    <row r="8" spans="2:2" x14ac:dyDescent="0.25">
      <c r="B8" s="24" t="s">
        <v>261</v>
      </c>
    </row>
    <row r="9" spans="2:2" x14ac:dyDescent="0.25">
      <c r="B9" s="24" t="s">
        <v>262</v>
      </c>
    </row>
    <row r="10" spans="2:2" x14ac:dyDescent="0.25">
      <c r="B10" s="24" t="s">
        <v>263</v>
      </c>
    </row>
    <row r="11" spans="2:2" x14ac:dyDescent="0.25">
      <c r="B11" s="24" t="s">
        <v>264</v>
      </c>
    </row>
    <row r="12" spans="2:2" x14ac:dyDescent="0.25">
      <c r="B12" s="24" t="s">
        <v>265</v>
      </c>
    </row>
    <row r="13" spans="2:2" x14ac:dyDescent="0.25">
      <c r="B13" s="24" t="s">
        <v>266</v>
      </c>
    </row>
    <row r="14" spans="2:2" x14ac:dyDescent="0.25">
      <c r="B14" s="24" t="s">
        <v>267</v>
      </c>
    </row>
    <row r="15" spans="2:2" x14ac:dyDescent="0.25">
      <c r="B15" s="24" t="s">
        <v>268</v>
      </c>
    </row>
    <row r="16" spans="2:2" x14ac:dyDescent="0.25">
      <c r="B16" s="24" t="s">
        <v>174</v>
      </c>
    </row>
    <row r="17" spans="2:2" x14ac:dyDescent="0.25">
      <c r="B17" s="24" t="s">
        <v>175</v>
      </c>
    </row>
    <row r="18" spans="2:2" x14ac:dyDescent="0.25">
      <c r="B18" s="24" t="s">
        <v>176</v>
      </c>
    </row>
    <row r="19" spans="2:2" x14ac:dyDescent="0.25">
      <c r="B19" s="24"/>
    </row>
    <row r="20" spans="2:2" x14ac:dyDescent="0.25">
      <c r="B20" s="24" t="s">
        <v>255</v>
      </c>
    </row>
    <row r="21" spans="2:2" x14ac:dyDescent="0.25">
      <c r="B21" s="24" t="s">
        <v>256</v>
      </c>
    </row>
    <row r="22" spans="2:2" x14ac:dyDescent="0.25">
      <c r="B22" s="24" t="s">
        <v>182</v>
      </c>
    </row>
    <row r="23" spans="2:2" x14ac:dyDescent="0.25">
      <c r="B23" s="24"/>
    </row>
    <row r="24" spans="2:2" x14ac:dyDescent="0.25">
      <c r="B24" s="24" t="s">
        <v>177</v>
      </c>
    </row>
    <row r="25" spans="2:2" x14ac:dyDescent="0.25">
      <c r="B25" s="24" t="s">
        <v>178</v>
      </c>
    </row>
    <row r="26" spans="2:2" x14ac:dyDescent="0.25">
      <c r="B26" s="24" t="s">
        <v>179</v>
      </c>
    </row>
    <row r="27" spans="2:2" x14ac:dyDescent="0.25">
      <c r="B27" s="24" t="s">
        <v>180</v>
      </c>
    </row>
    <row r="28" spans="2:2" x14ac:dyDescent="0.25">
      <c r="B28" s="24" t="s">
        <v>181</v>
      </c>
    </row>
    <row r="29" spans="2:2" x14ac:dyDescent="0.25">
      <c r="B29" s="24" t="s">
        <v>182</v>
      </c>
    </row>
    <row r="30" spans="2:2" x14ac:dyDescent="0.25">
      <c r="B30" s="24"/>
    </row>
    <row r="31" spans="2:2" x14ac:dyDescent="0.25">
      <c r="B31" s="24" t="s">
        <v>183</v>
      </c>
    </row>
    <row r="32" spans="2:2" x14ac:dyDescent="0.25">
      <c r="B32" s="24" t="s">
        <v>184</v>
      </c>
    </row>
    <row r="33" spans="2:2" x14ac:dyDescent="0.25">
      <c r="B33" s="24" t="s">
        <v>185</v>
      </c>
    </row>
    <row r="34" spans="2:2" x14ac:dyDescent="0.25">
      <c r="B34" s="24"/>
    </row>
    <row r="35" spans="2:2" x14ac:dyDescent="0.25">
      <c r="B35" s="24" t="s">
        <v>0</v>
      </c>
    </row>
    <row r="36" spans="2:2" x14ac:dyDescent="0.25">
      <c r="B36" s="24" t="s">
        <v>217</v>
      </c>
    </row>
    <row r="37" spans="2:2" x14ac:dyDescent="0.25">
      <c r="B37" s="24" t="s">
        <v>0</v>
      </c>
    </row>
    <row r="38" spans="2:2" x14ac:dyDescent="0.25">
      <c r="B38" s="24"/>
    </row>
    <row r="39" spans="2:2" x14ac:dyDescent="0.25">
      <c r="B39" s="24" t="s">
        <v>1</v>
      </c>
    </row>
    <row r="40" spans="2:2" x14ac:dyDescent="0.25">
      <c r="B40" s="24" t="s">
        <v>2</v>
      </c>
    </row>
    <row r="41" spans="2:2" x14ac:dyDescent="0.25">
      <c r="B41" s="24" t="str">
        <f>"#define MPU_INIT_CTRL_ENABLE   "&amp;IF(CONFIG!A3,"1","0")</f>
        <v>#define MPU_INIT_CTRL_ENABLE   0</v>
      </c>
    </row>
    <row r="42" spans="2:2" x14ac:dyDescent="0.25">
      <c r="B42" s="24" t="s">
        <v>3</v>
      </c>
    </row>
    <row r="43" spans="2:2" x14ac:dyDescent="0.25">
      <c r="B43" s="24" t="s">
        <v>4</v>
      </c>
    </row>
    <row r="44" spans="2:2" x14ac:dyDescent="0.25">
      <c r="B44" s="24" t="str">
        <f>"#define MPU_INIT_CTRL_PRIVDEFENA  "&amp;IF(CONFIG!A4,"0x00000004","0x00000000")</f>
        <v>#define MPU_INIT_CTRL_PRIVDEFENA  0x00000004</v>
      </c>
    </row>
    <row r="45" spans="2:2" x14ac:dyDescent="0.25">
      <c r="B45" s="24" t="s">
        <v>5</v>
      </c>
    </row>
    <row r="46" spans="2:2" x14ac:dyDescent="0.25">
      <c r="B46" s="24" t="s">
        <v>6</v>
      </c>
    </row>
    <row r="47" spans="2:2" x14ac:dyDescent="0.25">
      <c r="B47" s="24" t="s">
        <v>7</v>
      </c>
    </row>
    <row r="48" spans="2:2" x14ac:dyDescent="0.25">
      <c r="B48" s="24" t="str">
        <f>"#define MPU_INIT_CTRL_HFNMIENA  "&amp;IF(CONFIG!A5,"0x00000002","0x00000000")</f>
        <v>#define MPU_INIT_CTRL_HFNMIENA  0x00000000</v>
      </c>
    </row>
    <row r="49" spans="1:2" x14ac:dyDescent="0.25">
      <c r="B49" s="24" t="s">
        <v>8</v>
      </c>
    </row>
    <row r="50" spans="1:2" x14ac:dyDescent="0.25">
      <c r="B50" s="24" t="s">
        <v>9</v>
      </c>
    </row>
    <row r="51" spans="1:2" x14ac:dyDescent="0.25">
      <c r="B51" s="24"/>
    </row>
    <row r="52" spans="1:2" x14ac:dyDescent="0.25">
      <c r="A52" s="2">
        <v>0</v>
      </c>
      <c r="B52" s="24" t="str">
        <f>"// MPU Region "&amp;A52&amp;" ********************************"</f>
        <v>// MPU Region 0 ********************************</v>
      </c>
    </row>
    <row r="53" spans="1:2" x14ac:dyDescent="0.25">
      <c r="A53" s="2">
        <v>7</v>
      </c>
      <c r="B53" s="24" t="str">
        <f>"// &lt;e&gt;Configure MPU Region "&amp;A52</f>
        <v>// &lt;e&gt;Configure MPU Region 0</v>
      </c>
    </row>
    <row r="54" spans="1:2" x14ac:dyDescent="0.25">
      <c r="B54" s="24" t="s">
        <v>186</v>
      </c>
    </row>
    <row r="55" spans="1:2" x14ac:dyDescent="0.25">
      <c r="A55">
        <f>A53</f>
        <v>7</v>
      </c>
      <c r="B55" s="24" t="str">
        <f ca="1">"#define CONFIG_REG"&amp;A52&amp;"   "&amp;N(INDIRECT("CONFIG!A"&amp;A55))</f>
        <v>#define CONFIG_REG0   1</v>
      </c>
    </row>
    <row r="56" spans="1:2" x14ac:dyDescent="0.25">
      <c r="B56" s="24" t="s">
        <v>10</v>
      </c>
    </row>
    <row r="57" spans="1:2" x14ac:dyDescent="0.25">
      <c r="A57">
        <f>A53+1</f>
        <v>8</v>
      </c>
      <c r="B57" s="24" t="str">
        <f ca="1">"#define ENABLE_REG"&amp;A52&amp;"   "&amp;N(INDIRECT("CONFIG!A"&amp;A57))</f>
        <v>#define ENABLE_REG0   0</v>
      </c>
    </row>
    <row r="58" spans="1:2" x14ac:dyDescent="0.25">
      <c r="B58" s="24" t="s">
        <v>11</v>
      </c>
    </row>
    <row r="59" spans="1:2" x14ac:dyDescent="0.25">
      <c r="B59" s="24" t="s">
        <v>12</v>
      </c>
    </row>
    <row r="60" spans="1:2" x14ac:dyDescent="0.25">
      <c r="A60">
        <f>A53+2</f>
        <v>9</v>
      </c>
      <c r="B60" s="24" t="str" cm="1">
        <f t="array" aca="1" ref="B60" ca="1">"#define BASE_REG"&amp;A52&amp;"   0x"&amp;INDIRECT("CONFIG!A"&amp;A60)</f>
        <v>#define BASE_REG0   0x20000000</v>
      </c>
    </row>
    <row r="61" spans="1:2" x14ac:dyDescent="0.25">
      <c r="B61" s="24" t="s">
        <v>13</v>
      </c>
    </row>
    <row r="62" spans="1:2" x14ac:dyDescent="0.25">
      <c r="B62" s="24" t="s">
        <v>14</v>
      </c>
    </row>
    <row r="63" spans="1:2" x14ac:dyDescent="0.25">
      <c r="B63" s="24" t="s">
        <v>15</v>
      </c>
    </row>
    <row r="64" spans="1:2" x14ac:dyDescent="0.25">
      <c r="B64" s="24" t="s">
        <v>16</v>
      </c>
    </row>
    <row r="65" spans="2:2" x14ac:dyDescent="0.25">
      <c r="B65" s="24" t="s">
        <v>17</v>
      </c>
    </row>
    <row r="66" spans="2:2" x14ac:dyDescent="0.25">
      <c r="B66" s="24" t="s">
        <v>18</v>
      </c>
    </row>
    <row r="67" spans="2:2" x14ac:dyDescent="0.25">
      <c r="B67" s="24" t="s">
        <v>19</v>
      </c>
    </row>
    <row r="68" spans="2:2" x14ac:dyDescent="0.25">
      <c r="B68" s="24" t="s">
        <v>20</v>
      </c>
    </row>
    <row r="69" spans="2:2" x14ac:dyDescent="0.25">
      <c r="B69" s="24" t="s">
        <v>21</v>
      </c>
    </row>
    <row r="70" spans="2:2" x14ac:dyDescent="0.25">
      <c r="B70" s="24" t="s">
        <v>22</v>
      </c>
    </row>
    <row r="71" spans="2:2" x14ac:dyDescent="0.25">
      <c r="B71" s="24" t="s">
        <v>23</v>
      </c>
    </row>
    <row r="72" spans="2:2" x14ac:dyDescent="0.25">
      <c r="B72" s="24" t="s">
        <v>24</v>
      </c>
    </row>
    <row r="73" spans="2:2" x14ac:dyDescent="0.25">
      <c r="B73" s="24" t="s">
        <v>25</v>
      </c>
    </row>
    <row r="74" spans="2:2" x14ac:dyDescent="0.25">
      <c r="B74" s="24" t="s">
        <v>26</v>
      </c>
    </row>
    <row r="75" spans="2:2" x14ac:dyDescent="0.25">
      <c r="B75" s="24" t="s">
        <v>27</v>
      </c>
    </row>
    <row r="76" spans="2:2" x14ac:dyDescent="0.25">
      <c r="B76" s="24" t="s">
        <v>28</v>
      </c>
    </row>
    <row r="77" spans="2:2" x14ac:dyDescent="0.25">
      <c r="B77" s="24" t="s">
        <v>29</v>
      </c>
    </row>
    <row r="78" spans="2:2" x14ac:dyDescent="0.25">
      <c r="B78" s="24" t="s">
        <v>30</v>
      </c>
    </row>
    <row r="79" spans="2:2" x14ac:dyDescent="0.25">
      <c r="B79" s="24" t="s">
        <v>31</v>
      </c>
    </row>
    <row r="80" spans="2:2" x14ac:dyDescent="0.25">
      <c r="B80" s="24" t="s">
        <v>32</v>
      </c>
    </row>
    <row r="81" spans="1:2" x14ac:dyDescent="0.25">
      <c r="B81" s="24" t="s">
        <v>33</v>
      </c>
    </row>
    <row r="82" spans="1:2" x14ac:dyDescent="0.25">
      <c r="B82" s="24" t="s">
        <v>34</v>
      </c>
    </row>
    <row r="83" spans="1:2" x14ac:dyDescent="0.25">
      <c r="B83" s="24" t="s">
        <v>35</v>
      </c>
    </row>
    <row r="84" spans="1:2" x14ac:dyDescent="0.25">
      <c r="B84" s="24" t="s">
        <v>36</v>
      </c>
    </row>
    <row r="85" spans="1:2" x14ac:dyDescent="0.25">
      <c r="B85" s="24" t="s">
        <v>37</v>
      </c>
    </row>
    <row r="86" spans="1:2" x14ac:dyDescent="0.25">
      <c r="B86" s="24" t="s">
        <v>38</v>
      </c>
    </row>
    <row r="87" spans="1:2" x14ac:dyDescent="0.25">
      <c r="B87" s="24" t="s">
        <v>39</v>
      </c>
    </row>
    <row r="88" spans="1:2" x14ac:dyDescent="0.25">
      <c r="B88" s="24" t="s">
        <v>40</v>
      </c>
    </row>
    <row r="89" spans="1:2" x14ac:dyDescent="0.25">
      <c r="B89" s="24" t="s">
        <v>41</v>
      </c>
    </row>
    <row r="90" spans="1:2" x14ac:dyDescent="0.25">
      <c r="A90">
        <f>A53+3</f>
        <v>10</v>
      </c>
      <c r="B90" s="24" t="str" cm="1">
        <f t="array" aca="1" ref="B90" ca="1">"#define SIZE_REG"&amp;A52&amp;"   "&amp;INDIRECT("CONFIG!A"&amp;A90)+3</f>
        <v>#define SIZE_REG0   7</v>
      </c>
    </row>
    <row r="91" spans="1:2" x14ac:dyDescent="0.25">
      <c r="B91" s="24" t="s">
        <v>42</v>
      </c>
    </row>
    <row r="92" spans="1:2" x14ac:dyDescent="0.25">
      <c r="B92" s="24" t="s">
        <v>43</v>
      </c>
    </row>
    <row r="93" spans="1:2" x14ac:dyDescent="0.25">
      <c r="B93" s="24" t="s">
        <v>44</v>
      </c>
    </row>
    <row r="94" spans="1:2" x14ac:dyDescent="0.25">
      <c r="B94" s="24" t="s">
        <v>45</v>
      </c>
    </row>
    <row r="95" spans="1:2" x14ac:dyDescent="0.25">
      <c r="B95" s="24" t="s">
        <v>46</v>
      </c>
    </row>
    <row r="96" spans="1:2" x14ac:dyDescent="0.25">
      <c r="A96">
        <f>A53+6</f>
        <v>13</v>
      </c>
      <c r="B96" s="24" t="str">
        <f ca="1">"#define SRD_USE_REG"&amp;A52&amp;"  "&amp;N(OR(INDIRECT("CONFIG!A"&amp;A96&amp;":A"&amp;A96+7&amp;"")))</f>
        <v>#define SRD_USE_REG0  1</v>
      </c>
    </row>
    <row r="97" spans="1:2" x14ac:dyDescent="0.25">
      <c r="B97" s="24" t="s">
        <v>47</v>
      </c>
    </row>
    <row r="98" spans="1:2" x14ac:dyDescent="0.25">
      <c r="A98">
        <f>A53+6</f>
        <v>13</v>
      </c>
      <c r="B98" s="24" t="str">
        <f ca="1">"#define SRD0_REG"&amp;A52&amp;"   "&amp;N(INDIRECT("CONFIG!A"&amp;A98))</f>
        <v>#define SRD0_REG0   0</v>
      </c>
    </row>
    <row r="99" spans="1:2" x14ac:dyDescent="0.25">
      <c r="B99" s="24" t="s">
        <v>48</v>
      </c>
    </row>
    <row r="100" spans="1:2" x14ac:dyDescent="0.25">
      <c r="A100">
        <f>A53+7</f>
        <v>14</v>
      </c>
      <c r="B100" s="24" t="str">
        <f ca="1">"#define SRD1_REG"&amp;A52&amp;"   "&amp;N(INDIRECT("CONFIG!A"&amp;A100))*2</f>
        <v>#define SRD1_REG0   0</v>
      </c>
    </row>
    <row r="101" spans="1:2" x14ac:dyDescent="0.25">
      <c r="B101" s="24" t="s">
        <v>49</v>
      </c>
    </row>
    <row r="102" spans="1:2" x14ac:dyDescent="0.25">
      <c r="A102">
        <f>A53+8</f>
        <v>15</v>
      </c>
      <c r="B102" s="24" t="str">
        <f ca="1">"#define SRD2_REG"&amp;A52&amp;"   "&amp;N(INDIRECT("CONFIG!A"&amp;A102))*4</f>
        <v>#define SRD2_REG0   0</v>
      </c>
    </row>
    <row r="103" spans="1:2" x14ac:dyDescent="0.25">
      <c r="B103" s="24" t="s">
        <v>50</v>
      </c>
    </row>
    <row r="104" spans="1:2" x14ac:dyDescent="0.25">
      <c r="A104">
        <f>A53+9</f>
        <v>16</v>
      </c>
      <c r="B104" s="24" t="str">
        <f ca="1">"#define SRD3_REG"&amp;A52&amp;"   "&amp;N(INDIRECT("CONFIG!A"&amp;A104))*8</f>
        <v>#define SRD3_REG0   0</v>
      </c>
    </row>
    <row r="105" spans="1:2" x14ac:dyDescent="0.25">
      <c r="B105" s="24" t="s">
        <v>51</v>
      </c>
    </row>
    <row r="106" spans="1:2" x14ac:dyDescent="0.25">
      <c r="A106">
        <f>A53+10</f>
        <v>17</v>
      </c>
      <c r="B106" s="24" t="str">
        <f ca="1">"#define SRD4_REG"&amp;A52&amp;"   "&amp;N(INDIRECT("CONFIG!A"&amp;A106))*16</f>
        <v>#define SRD4_REG0   0</v>
      </c>
    </row>
    <row r="107" spans="1:2" x14ac:dyDescent="0.25">
      <c r="B107" s="24" t="s">
        <v>52</v>
      </c>
    </row>
    <row r="108" spans="1:2" x14ac:dyDescent="0.25">
      <c r="A108">
        <f>A53+11</f>
        <v>18</v>
      </c>
      <c r="B108" s="24" t="str">
        <f ca="1">"#define SRD5_REG"&amp;A52&amp;"   "&amp;N(INDIRECT("CONFIG!A"&amp;A108))*32</f>
        <v>#define SRD5_REG0   32</v>
      </c>
    </row>
    <row r="109" spans="1:2" x14ac:dyDescent="0.25">
      <c r="B109" s="24" t="s">
        <v>53</v>
      </c>
    </row>
    <row r="110" spans="1:2" x14ac:dyDescent="0.25">
      <c r="A110">
        <f>A53+12</f>
        <v>19</v>
      </c>
      <c r="B110" s="24" t="str">
        <f ca="1">"#define SRD6_REG"&amp;A52&amp;"   "&amp;N(INDIRECT("CONFIG!A"&amp;A110))*64</f>
        <v>#define SRD6_REG0   0</v>
      </c>
    </row>
    <row r="111" spans="1:2" x14ac:dyDescent="0.25">
      <c r="B111" s="24" t="s">
        <v>54</v>
      </c>
    </row>
    <row r="112" spans="1:2" x14ac:dyDescent="0.25">
      <c r="A112">
        <f>A53+13</f>
        <v>20</v>
      </c>
      <c r="B112" s="24" t="str">
        <f ca="1">"#define SRD7_REG"&amp;A52&amp;"   "&amp;N(INDIRECT("CONFIG!A"&amp;A112))*128</f>
        <v>#define SRD7_REG0   0</v>
      </c>
    </row>
    <row r="113" spans="1:2" x14ac:dyDescent="0.25">
      <c r="B113" s="24" t="str">
        <f>"#define SRD_REG"&amp;A52&amp;" ((SRD_USE_REG"&amp;A52&amp;" == 0)?0: (SRD0_REG"&amp;A52&amp;" | SRD1_REG"&amp;A52&amp;" | SRD2_REG"&amp;A52&amp;" | SRD3_REG"&amp;A52&amp;" |\"</f>
        <v>#define SRD_REG0 ((SRD_USE_REG0 == 0)?0: (SRD0_REG0 | SRD1_REG0 | SRD2_REG0 | SRD3_REG0 |\</v>
      </c>
    </row>
    <row r="114" spans="1:2" x14ac:dyDescent="0.25">
      <c r="B114" s="24" t="str">
        <f>"                      SRD4_REG"&amp;A52&amp;" | SRD5_REG"&amp;A52&amp;" | SRD6_REG"&amp;A52&amp;" | SRD7_REG"&amp;A52&amp;" ))"</f>
        <v xml:space="preserve">                      SRD4_REG0 | SRD5_REG0 | SRD6_REG0 | SRD7_REG0 ))</v>
      </c>
    </row>
    <row r="115" spans="1:2" x14ac:dyDescent="0.25">
      <c r="B115" s="24" t="s">
        <v>55</v>
      </c>
    </row>
    <row r="116" spans="1:2" x14ac:dyDescent="0.25">
      <c r="B116" s="24" t="s">
        <v>56</v>
      </c>
    </row>
    <row r="117" spans="1:2" x14ac:dyDescent="0.25">
      <c r="B117" s="24" t="s">
        <v>57</v>
      </c>
    </row>
    <row r="118" spans="1:2" x14ac:dyDescent="0.25">
      <c r="B118" s="24" t="s">
        <v>58</v>
      </c>
    </row>
    <row r="119" spans="1:2" x14ac:dyDescent="0.25">
      <c r="B119" s="24" t="s">
        <v>59</v>
      </c>
    </row>
    <row r="120" spans="1:2" x14ac:dyDescent="0.25">
      <c r="B120" s="24" t="s">
        <v>60</v>
      </c>
    </row>
    <row r="121" spans="1:2" x14ac:dyDescent="0.25">
      <c r="B121" s="24" t="s">
        <v>61</v>
      </c>
    </row>
    <row r="122" spans="1:2" x14ac:dyDescent="0.25">
      <c r="B122" s="24" t="s">
        <v>62</v>
      </c>
    </row>
    <row r="123" spans="1:2" x14ac:dyDescent="0.25">
      <c r="A123">
        <f>A53+14</f>
        <v>21</v>
      </c>
      <c r="B123" s="24" t="str" cm="1">
        <f t="array" aca="1" ref="B123" ca="1">"#define PERM_REG"&amp;A52&amp;"   "&amp;INDIRECT("CONFIG!A"&amp;A123)-IF(INDIRECT("CONFIG!A"&amp;A123)&lt;6,1,0)</f>
        <v>#define PERM_REG0   2</v>
      </c>
    </row>
    <row r="124" spans="1:2" x14ac:dyDescent="0.25">
      <c r="B124" s="24" t="s">
        <v>63</v>
      </c>
    </row>
    <row r="125" spans="1:2" x14ac:dyDescent="0.25">
      <c r="A125">
        <f>A53+15</f>
        <v>22</v>
      </c>
      <c r="B125" s="24" t="str">
        <f ca="1">"#define XN_REG"&amp;A52&amp;"   "&amp;N(INDIRECT("CONFIG!A"&amp;A125))</f>
        <v>#define XN_REG0   1</v>
      </c>
    </row>
    <row r="126" spans="1:2" x14ac:dyDescent="0.25">
      <c r="B126" s="24" t="s">
        <v>259</v>
      </c>
    </row>
    <row r="127" spans="1:2" x14ac:dyDescent="0.25">
      <c r="B127" s="24" t="s">
        <v>64</v>
      </c>
    </row>
    <row r="128" spans="1:2" x14ac:dyDescent="0.25">
      <c r="A128">
        <f>A53+16</f>
        <v>23</v>
      </c>
      <c r="B128" s="24" t="str">
        <f ca="1">"#define SHARE_REG"&amp;A52&amp;"   "&amp;"("&amp;N(INDIRECT("CONFIG!A"&amp;A128))&amp;"&lt;&lt;MPU_RASR_S_Pos)"</f>
        <v>#define SHARE_REG0   (1&lt;&lt;MPU_RASR_S_Pos)</v>
      </c>
    </row>
    <row r="129" spans="2:2" x14ac:dyDescent="0.25">
      <c r="B129" s="24" t="s">
        <v>65</v>
      </c>
    </row>
    <row r="130" spans="2:2" x14ac:dyDescent="0.25">
      <c r="B130" s="24" t="s">
        <v>66</v>
      </c>
    </row>
    <row r="131" spans="2:2" x14ac:dyDescent="0.25">
      <c r="B131" s="24" t="s">
        <v>67</v>
      </c>
    </row>
    <row r="132" spans="2:2" x14ac:dyDescent="0.25">
      <c r="B132" s="24" t="s">
        <v>68</v>
      </c>
    </row>
    <row r="133" spans="2:2" x14ac:dyDescent="0.25">
      <c r="B133" s="24" t="s">
        <v>69</v>
      </c>
    </row>
    <row r="134" spans="2:2" x14ac:dyDescent="0.25">
      <c r="B134" s="24" t="s">
        <v>70</v>
      </c>
    </row>
    <row r="135" spans="2:2" x14ac:dyDescent="0.25">
      <c r="B135" s="24" t="s">
        <v>71</v>
      </c>
    </row>
    <row r="136" spans="2:2" x14ac:dyDescent="0.25">
      <c r="B136" s="24" t="s">
        <v>72</v>
      </c>
    </row>
    <row r="137" spans="2:2" x14ac:dyDescent="0.25">
      <c r="B137" s="24" t="s">
        <v>73</v>
      </c>
    </row>
    <row r="138" spans="2:2" x14ac:dyDescent="0.25">
      <c r="B138" s="24" t="s">
        <v>74</v>
      </c>
    </row>
    <row r="139" spans="2:2" x14ac:dyDescent="0.25">
      <c r="B139" s="24" t="s">
        <v>75</v>
      </c>
    </row>
    <row r="140" spans="2:2" x14ac:dyDescent="0.25">
      <c r="B140" s="24" t="s">
        <v>76</v>
      </c>
    </row>
    <row r="141" spans="2:2" x14ac:dyDescent="0.25">
      <c r="B141" s="24" t="s">
        <v>77</v>
      </c>
    </row>
    <row r="142" spans="2:2" x14ac:dyDescent="0.25">
      <c r="B142" s="24" t="s">
        <v>78</v>
      </c>
    </row>
    <row r="143" spans="2:2" x14ac:dyDescent="0.25">
      <c r="B143" s="24" t="s">
        <v>79</v>
      </c>
    </row>
    <row r="144" spans="2:2" x14ac:dyDescent="0.25">
      <c r="B144" s="24" t="s">
        <v>80</v>
      </c>
    </row>
    <row r="145" spans="1:2" x14ac:dyDescent="0.25">
      <c r="B145" s="24" t="s">
        <v>81</v>
      </c>
    </row>
    <row r="146" spans="1:2" x14ac:dyDescent="0.25">
      <c r="B146" s="24" t="s">
        <v>82</v>
      </c>
    </row>
    <row r="147" spans="1:2" x14ac:dyDescent="0.25">
      <c r="B147" s="24" t="s">
        <v>83</v>
      </c>
    </row>
    <row r="148" spans="1:2" x14ac:dyDescent="0.25">
      <c r="B148" s="24" t="s">
        <v>84</v>
      </c>
    </row>
    <row r="149" spans="1:2" x14ac:dyDescent="0.25">
      <c r="B149" s="24" t="s">
        <v>85</v>
      </c>
    </row>
    <row r="150" spans="1:2" x14ac:dyDescent="0.25">
      <c r="B150" s="24" t="s">
        <v>86</v>
      </c>
    </row>
    <row r="151" spans="1:2" x14ac:dyDescent="0.25">
      <c r="B151" s="24" t="s">
        <v>87</v>
      </c>
    </row>
    <row r="152" spans="1:2" x14ac:dyDescent="0.25">
      <c r="B152" s="24" t="s">
        <v>88</v>
      </c>
    </row>
    <row r="153" spans="1:2" x14ac:dyDescent="0.25">
      <c r="B153" s="24" t="s">
        <v>89</v>
      </c>
    </row>
    <row r="154" spans="1:2" x14ac:dyDescent="0.25">
      <c r="B154" s="24" t="s">
        <v>90</v>
      </c>
    </row>
    <row r="155" spans="1:2" x14ac:dyDescent="0.25">
      <c r="B155" s="24" t="s">
        <v>91</v>
      </c>
    </row>
    <row r="156" spans="1:2" x14ac:dyDescent="0.25">
      <c r="B156" s="24" t="s">
        <v>92</v>
      </c>
    </row>
    <row r="157" spans="1:2" x14ac:dyDescent="0.25">
      <c r="B157" s="24" t="s">
        <v>93</v>
      </c>
    </row>
    <row r="158" spans="1:2" x14ac:dyDescent="0.25">
      <c r="B158" s="24" t="s">
        <v>94</v>
      </c>
    </row>
    <row r="159" spans="1:2" x14ac:dyDescent="0.25">
      <c r="B159" s="24" t="s">
        <v>95</v>
      </c>
    </row>
    <row r="160" spans="1:2" x14ac:dyDescent="0.25">
      <c r="A160">
        <f>A53+17</f>
        <v>24</v>
      </c>
      <c r="B160" s="24" t="str" cm="1">
        <f t="array" aca="1" ref="B160" ca="1">"#define ACCESS_REG"&amp;A52&amp;"   "&amp;MID(INDIRECT("B"&amp;INDIRECT("CONFIG!A"&amp;A160)+129),13,8)</f>
        <v>#define ACCESS_REG0   0x020000</v>
      </c>
    </row>
    <row r="161" spans="1:2" x14ac:dyDescent="0.25">
      <c r="B161" s="24" t="str">
        <f>"#define TEXSCB_REG"&amp;A52&amp;" (ACCESS_REG"&amp;A52&amp;" | SHARE_REG"&amp;A52&amp;")"</f>
        <v>#define TEXSCB_REG0 (ACCESS_REG0 | SHARE_REG0)</v>
      </c>
    </row>
    <row r="162" spans="1:2" x14ac:dyDescent="0.25">
      <c r="B162" s="24" t="str">
        <f>"//   &lt;/e&gt;   //MPU Region "&amp;A52&amp;" ********************************"</f>
        <v>//   &lt;/e&gt;   //MPU Region 0 ********************************</v>
      </c>
    </row>
    <row r="163" spans="1:2" x14ac:dyDescent="0.25">
      <c r="B163" s="24"/>
    </row>
    <row r="164" spans="1:2" x14ac:dyDescent="0.25">
      <c r="A164" s="2">
        <f>A52+1</f>
        <v>1</v>
      </c>
      <c r="B164" s="24" t="str">
        <f>"// MPU Region "&amp;A164&amp;" ********************************"</f>
        <v>// MPU Region 1 ********************************</v>
      </c>
    </row>
    <row r="165" spans="1:2" x14ac:dyDescent="0.25">
      <c r="A165" s="2">
        <f>A53+19</f>
        <v>26</v>
      </c>
      <c r="B165" s="24" t="str">
        <f>"// &lt;e&gt;Configure MPU Region "&amp;A164</f>
        <v>// &lt;e&gt;Configure MPU Region 1</v>
      </c>
    </row>
    <row r="166" spans="1:2" x14ac:dyDescent="0.25">
      <c r="B166" s="24" t="s">
        <v>186</v>
      </c>
    </row>
    <row r="167" spans="1:2" x14ac:dyDescent="0.25">
      <c r="A167">
        <f>A165</f>
        <v>26</v>
      </c>
      <c r="B167" s="24" t="str">
        <f ca="1">"#define CONFIG_REG"&amp;A164&amp;"   "&amp;N(INDIRECT("CONFIG!A"&amp;A167))</f>
        <v>#define CONFIG_REG1   0</v>
      </c>
    </row>
    <row r="168" spans="1:2" x14ac:dyDescent="0.25">
      <c r="B168" s="24" t="s">
        <v>10</v>
      </c>
    </row>
    <row r="169" spans="1:2" x14ac:dyDescent="0.25">
      <c r="A169">
        <f>A165+1</f>
        <v>27</v>
      </c>
      <c r="B169" s="24" t="str">
        <f ca="1">"#define ENABLE_REG"&amp;A164&amp;"   "&amp;N(INDIRECT("CONFIG!A"&amp;A169))</f>
        <v>#define ENABLE_REG1   1</v>
      </c>
    </row>
    <row r="170" spans="1:2" x14ac:dyDescent="0.25">
      <c r="B170" s="24" t="s">
        <v>11</v>
      </c>
    </row>
    <row r="171" spans="1:2" x14ac:dyDescent="0.25">
      <c r="B171" s="24" t="s">
        <v>12</v>
      </c>
    </row>
    <row r="172" spans="1:2" x14ac:dyDescent="0.25">
      <c r="A172">
        <f>A165+2</f>
        <v>28</v>
      </c>
      <c r="B172" s="24" t="str" cm="1">
        <f t="array" aca="1" ref="B172" ca="1">"#define BASE_REG"&amp;A164&amp;"   "&amp;INDIRECT("CONFIG!A"&amp;A172)</f>
        <v>#define BASE_REG1   00000000</v>
      </c>
    </row>
    <row r="173" spans="1:2" x14ac:dyDescent="0.25">
      <c r="B173" s="24" t="s">
        <v>13</v>
      </c>
    </row>
    <row r="174" spans="1:2" x14ac:dyDescent="0.25">
      <c r="B174" s="24" t="s">
        <v>14</v>
      </c>
    </row>
    <row r="175" spans="1:2" x14ac:dyDescent="0.25">
      <c r="B175" s="24" t="s">
        <v>15</v>
      </c>
    </row>
    <row r="176" spans="1:2" x14ac:dyDescent="0.25">
      <c r="B176" s="24" t="s">
        <v>16</v>
      </c>
    </row>
    <row r="177" spans="2:2" x14ac:dyDescent="0.25">
      <c r="B177" s="24" t="s">
        <v>17</v>
      </c>
    </row>
    <row r="178" spans="2:2" x14ac:dyDescent="0.25">
      <c r="B178" s="24" t="s">
        <v>18</v>
      </c>
    </row>
    <row r="179" spans="2:2" x14ac:dyDescent="0.25">
      <c r="B179" s="24" t="s">
        <v>19</v>
      </c>
    </row>
    <row r="180" spans="2:2" x14ac:dyDescent="0.25">
      <c r="B180" s="24" t="s">
        <v>20</v>
      </c>
    </row>
    <row r="181" spans="2:2" x14ac:dyDescent="0.25">
      <c r="B181" s="24" t="s">
        <v>21</v>
      </c>
    </row>
    <row r="182" spans="2:2" x14ac:dyDescent="0.25">
      <c r="B182" s="24" t="s">
        <v>22</v>
      </c>
    </row>
    <row r="183" spans="2:2" x14ac:dyDescent="0.25">
      <c r="B183" s="24" t="s">
        <v>23</v>
      </c>
    </row>
    <row r="184" spans="2:2" x14ac:dyDescent="0.25">
      <c r="B184" s="24" t="s">
        <v>24</v>
      </c>
    </row>
    <row r="185" spans="2:2" x14ac:dyDescent="0.25">
      <c r="B185" s="24" t="s">
        <v>25</v>
      </c>
    </row>
    <row r="186" spans="2:2" x14ac:dyDescent="0.25">
      <c r="B186" s="24" t="s">
        <v>26</v>
      </c>
    </row>
    <row r="187" spans="2:2" x14ac:dyDescent="0.25">
      <c r="B187" s="24" t="s">
        <v>27</v>
      </c>
    </row>
    <row r="188" spans="2:2" x14ac:dyDescent="0.25">
      <c r="B188" s="24" t="s">
        <v>28</v>
      </c>
    </row>
    <row r="189" spans="2:2" x14ac:dyDescent="0.25">
      <c r="B189" s="24" t="s">
        <v>29</v>
      </c>
    </row>
    <row r="190" spans="2:2" x14ac:dyDescent="0.25">
      <c r="B190" s="24" t="s">
        <v>30</v>
      </c>
    </row>
    <row r="191" spans="2:2" x14ac:dyDescent="0.25">
      <c r="B191" s="24" t="s">
        <v>31</v>
      </c>
    </row>
    <row r="192" spans="2:2" x14ac:dyDescent="0.25">
      <c r="B192" s="24" t="s">
        <v>32</v>
      </c>
    </row>
    <row r="193" spans="1:2" x14ac:dyDescent="0.25">
      <c r="B193" s="24" t="s">
        <v>33</v>
      </c>
    </row>
    <row r="194" spans="1:2" x14ac:dyDescent="0.25">
      <c r="B194" s="24" t="s">
        <v>34</v>
      </c>
    </row>
    <row r="195" spans="1:2" x14ac:dyDescent="0.25">
      <c r="B195" s="24" t="s">
        <v>35</v>
      </c>
    </row>
    <row r="196" spans="1:2" x14ac:dyDescent="0.25">
      <c r="B196" s="24" t="s">
        <v>36</v>
      </c>
    </row>
    <row r="197" spans="1:2" x14ac:dyDescent="0.25">
      <c r="B197" s="24" t="s">
        <v>37</v>
      </c>
    </row>
    <row r="198" spans="1:2" x14ac:dyDescent="0.25">
      <c r="B198" s="24" t="s">
        <v>38</v>
      </c>
    </row>
    <row r="199" spans="1:2" x14ac:dyDescent="0.25">
      <c r="B199" s="24" t="s">
        <v>39</v>
      </c>
    </row>
    <row r="200" spans="1:2" x14ac:dyDescent="0.25">
      <c r="B200" s="24" t="s">
        <v>40</v>
      </c>
    </row>
    <row r="201" spans="1:2" x14ac:dyDescent="0.25">
      <c r="B201" s="24" t="s">
        <v>41</v>
      </c>
    </row>
    <row r="202" spans="1:2" x14ac:dyDescent="0.25">
      <c r="A202">
        <f>A165+3</f>
        <v>29</v>
      </c>
      <c r="B202" s="24" t="str" cm="1">
        <f t="array" aca="1" ref="B202" ca="1">"#define SIZE_REG"&amp;A164&amp;"   "&amp;INDIRECT("CONFIG!A"&amp;A202)+3</f>
        <v>#define SIZE_REG1   4</v>
      </c>
    </row>
    <row r="203" spans="1:2" x14ac:dyDescent="0.25">
      <c r="B203" s="24" t="s">
        <v>42</v>
      </c>
    </row>
    <row r="204" spans="1:2" x14ac:dyDescent="0.25">
      <c r="B204" s="24" t="s">
        <v>43</v>
      </c>
    </row>
    <row r="205" spans="1:2" x14ac:dyDescent="0.25">
      <c r="B205" s="24" t="s">
        <v>44</v>
      </c>
    </row>
    <row r="206" spans="1:2" x14ac:dyDescent="0.25">
      <c r="B206" s="24" t="s">
        <v>45</v>
      </c>
    </row>
    <row r="207" spans="1:2" x14ac:dyDescent="0.25">
      <c r="B207" s="24" t="s">
        <v>46</v>
      </c>
    </row>
    <row r="208" spans="1:2" x14ac:dyDescent="0.25">
      <c r="A208">
        <f>A165+6</f>
        <v>32</v>
      </c>
      <c r="B208" s="24" t="str">
        <f ca="1">"#define SRD_USE_REG"&amp;A164&amp;"  "&amp;N(OR(INDIRECT("CONFIG!A"&amp;A208&amp;":A"&amp;A208+7&amp;"")))</f>
        <v>#define SRD_USE_REG1  0</v>
      </c>
    </row>
    <row r="209" spans="1:2" x14ac:dyDescent="0.25">
      <c r="B209" s="24" t="s">
        <v>47</v>
      </c>
    </row>
    <row r="210" spans="1:2" x14ac:dyDescent="0.25">
      <c r="A210">
        <f>A165+6</f>
        <v>32</v>
      </c>
      <c r="B210" s="24" t="str">
        <f ca="1">"#define SRD0_REG"&amp;A164&amp;"   "&amp;N(INDIRECT("CONFIG!A"&amp;A210))</f>
        <v>#define SRD0_REG1   0</v>
      </c>
    </row>
    <row r="211" spans="1:2" x14ac:dyDescent="0.25">
      <c r="B211" s="24" t="s">
        <v>48</v>
      </c>
    </row>
    <row r="212" spans="1:2" x14ac:dyDescent="0.25">
      <c r="A212">
        <f>A165+7</f>
        <v>33</v>
      </c>
      <c r="B212" s="24" t="str">
        <f ca="1">"#define SRD1_REG"&amp;A164&amp;"   "&amp;N(INDIRECT("CONFIG!A"&amp;A212))*2</f>
        <v>#define SRD1_REG1   0</v>
      </c>
    </row>
    <row r="213" spans="1:2" x14ac:dyDescent="0.25">
      <c r="B213" s="24" t="s">
        <v>49</v>
      </c>
    </row>
    <row r="214" spans="1:2" x14ac:dyDescent="0.25">
      <c r="A214">
        <f>A165+8</f>
        <v>34</v>
      </c>
      <c r="B214" s="24" t="str">
        <f ca="1">"#define SRD2_REG"&amp;A164&amp;"   "&amp;N(INDIRECT("CONFIG!A"&amp;A214))*4</f>
        <v>#define SRD2_REG1   0</v>
      </c>
    </row>
    <row r="215" spans="1:2" x14ac:dyDescent="0.25">
      <c r="B215" s="24" t="s">
        <v>50</v>
      </c>
    </row>
    <row r="216" spans="1:2" x14ac:dyDescent="0.25">
      <c r="A216">
        <f>A165+9</f>
        <v>35</v>
      </c>
      <c r="B216" s="24" t="str">
        <f ca="1">"#define SRD3_REG"&amp;A164&amp;"   "&amp;N(INDIRECT("CONFIG!A"&amp;A216))*8</f>
        <v>#define SRD3_REG1   0</v>
      </c>
    </row>
    <row r="217" spans="1:2" x14ac:dyDescent="0.25">
      <c r="B217" s="24" t="s">
        <v>51</v>
      </c>
    </row>
    <row r="218" spans="1:2" x14ac:dyDescent="0.25">
      <c r="A218">
        <f>A165+10</f>
        <v>36</v>
      </c>
      <c r="B218" s="24" t="str">
        <f ca="1">"#define SRD4_REG"&amp;A164&amp;"   "&amp;N(INDIRECT("CONFIG!A"&amp;A218))*16</f>
        <v>#define SRD4_REG1   0</v>
      </c>
    </row>
    <row r="219" spans="1:2" x14ac:dyDescent="0.25">
      <c r="B219" s="24" t="s">
        <v>52</v>
      </c>
    </row>
    <row r="220" spans="1:2" x14ac:dyDescent="0.25">
      <c r="A220">
        <f>A165+11</f>
        <v>37</v>
      </c>
      <c r="B220" s="24" t="str">
        <f ca="1">"#define SRD5_REG"&amp;A164&amp;"   "&amp;N(INDIRECT("CONFIG!A"&amp;A220))*32</f>
        <v>#define SRD5_REG1   0</v>
      </c>
    </row>
    <row r="221" spans="1:2" x14ac:dyDescent="0.25">
      <c r="B221" s="24" t="s">
        <v>53</v>
      </c>
    </row>
    <row r="222" spans="1:2" x14ac:dyDescent="0.25">
      <c r="A222">
        <f>A165+12</f>
        <v>38</v>
      </c>
      <c r="B222" s="24" t="str">
        <f ca="1">"#define SRD6_REG"&amp;A164&amp;"   "&amp;N(INDIRECT("CONFIG!A"&amp;A222))*64</f>
        <v>#define SRD6_REG1   0</v>
      </c>
    </row>
    <row r="223" spans="1:2" x14ac:dyDescent="0.25">
      <c r="B223" s="24" t="s">
        <v>54</v>
      </c>
    </row>
    <row r="224" spans="1:2" x14ac:dyDescent="0.25">
      <c r="A224">
        <f>A165+13</f>
        <v>39</v>
      </c>
      <c r="B224" s="24" t="str">
        <f ca="1">"#define SRD7_REG"&amp;A164&amp;"   "&amp;N(INDIRECT("CONFIG!A"&amp;A224))*128</f>
        <v>#define SRD7_REG1   0</v>
      </c>
    </row>
    <row r="225" spans="1:2" x14ac:dyDescent="0.25">
      <c r="B225" s="24" t="str">
        <f>"#define SRD_REG"&amp;A164&amp;" ((SRD_USE_REG"&amp;A164&amp;" == 0)?0: (SRD0_REG"&amp;A164&amp;" | SRD1_REG"&amp;A164&amp;" | SRD2_REG"&amp;A164&amp;" | SRD3_REG"&amp;A164&amp;" |\"</f>
        <v>#define SRD_REG1 ((SRD_USE_REG1 == 0)?0: (SRD0_REG1 | SRD1_REG1 | SRD2_REG1 | SRD3_REG1 |\</v>
      </c>
    </row>
    <row r="226" spans="1:2" x14ac:dyDescent="0.25">
      <c r="B226" s="24" t="str">
        <f>"                      SRD4_REG"&amp;A164&amp;" | SRD5_REG"&amp;A164&amp;" | SRD6_REG"&amp;A164&amp;" | SRD7_REG"&amp;A164&amp;" ))"</f>
        <v xml:space="preserve">                      SRD4_REG1 | SRD5_REG1 | SRD6_REG1 | SRD7_REG1 ))</v>
      </c>
    </row>
    <row r="227" spans="1:2" x14ac:dyDescent="0.25">
      <c r="B227" s="24" t="s">
        <v>55</v>
      </c>
    </row>
    <row r="228" spans="1:2" x14ac:dyDescent="0.25">
      <c r="B228" s="24" t="s">
        <v>56</v>
      </c>
    </row>
    <row r="229" spans="1:2" x14ac:dyDescent="0.25">
      <c r="B229" s="24" t="s">
        <v>57</v>
      </c>
    </row>
    <row r="230" spans="1:2" x14ac:dyDescent="0.25">
      <c r="B230" s="24" t="s">
        <v>58</v>
      </c>
    </row>
    <row r="231" spans="1:2" x14ac:dyDescent="0.25">
      <c r="B231" s="24" t="s">
        <v>59</v>
      </c>
    </row>
    <row r="232" spans="1:2" x14ac:dyDescent="0.25">
      <c r="B232" s="24" t="s">
        <v>60</v>
      </c>
    </row>
    <row r="233" spans="1:2" x14ac:dyDescent="0.25">
      <c r="B233" s="24" t="s">
        <v>61</v>
      </c>
    </row>
    <row r="234" spans="1:2" x14ac:dyDescent="0.25">
      <c r="B234" s="24" t="s">
        <v>62</v>
      </c>
    </row>
    <row r="235" spans="1:2" x14ac:dyDescent="0.25">
      <c r="A235">
        <f>A165+14</f>
        <v>40</v>
      </c>
      <c r="B235" s="24" t="str" cm="1">
        <f t="array" aca="1" ref="B235" ca="1">"#define PERM_REG"&amp;A164&amp;"   "&amp;INDIRECT("CONFIG!A"&amp;A235)-IF(INDIRECT("CONFIG!A"&amp;A235)&lt;6,1,0)</f>
        <v>#define PERM_REG1   0</v>
      </c>
    </row>
    <row r="236" spans="1:2" x14ac:dyDescent="0.25">
      <c r="B236" s="24" t="s">
        <v>63</v>
      </c>
    </row>
    <row r="237" spans="1:2" x14ac:dyDescent="0.25">
      <c r="A237">
        <f>A165+15</f>
        <v>41</v>
      </c>
      <c r="B237" s="24" t="str">
        <f ca="1">"#define XN_REG"&amp;A164&amp;"   "&amp;N(INDIRECT("CONFIG!A"&amp;A237))</f>
        <v>#define XN_REG1   0</v>
      </c>
    </row>
    <row r="238" spans="1:2" x14ac:dyDescent="0.25">
      <c r="B238" s="24" t="s">
        <v>259</v>
      </c>
    </row>
    <row r="239" spans="1:2" x14ac:dyDescent="0.25">
      <c r="B239" s="24" t="s">
        <v>64</v>
      </c>
    </row>
    <row r="240" spans="1:2" x14ac:dyDescent="0.25">
      <c r="A240">
        <f>A165+16</f>
        <v>42</v>
      </c>
      <c r="B240" s="24" t="str">
        <f ca="1">"#define SHARE_REG"&amp;A164&amp;"   "&amp;"("&amp;N(INDIRECT("CONFIG!A"&amp;A240))&amp;"&lt;&lt;MPU_RASR_S_Pos)"</f>
        <v>#define SHARE_REG1   (1&lt;&lt;MPU_RASR_S_Pos)</v>
      </c>
    </row>
    <row r="241" spans="2:2" x14ac:dyDescent="0.25">
      <c r="B241" s="24" t="s">
        <v>65</v>
      </c>
    </row>
    <row r="242" spans="2:2" x14ac:dyDescent="0.25">
      <c r="B242" s="24" t="s">
        <v>66</v>
      </c>
    </row>
    <row r="243" spans="2:2" x14ac:dyDescent="0.25">
      <c r="B243" s="24" t="s">
        <v>67</v>
      </c>
    </row>
    <row r="244" spans="2:2" x14ac:dyDescent="0.25">
      <c r="B244" s="24" t="s">
        <v>68</v>
      </c>
    </row>
    <row r="245" spans="2:2" x14ac:dyDescent="0.25">
      <c r="B245" s="24" t="s">
        <v>69</v>
      </c>
    </row>
    <row r="246" spans="2:2" x14ac:dyDescent="0.25">
      <c r="B246" s="24" t="s">
        <v>70</v>
      </c>
    </row>
    <row r="247" spans="2:2" x14ac:dyDescent="0.25">
      <c r="B247" s="24" t="s">
        <v>71</v>
      </c>
    </row>
    <row r="248" spans="2:2" x14ac:dyDescent="0.25">
      <c r="B248" s="24" t="s">
        <v>72</v>
      </c>
    </row>
    <row r="249" spans="2:2" x14ac:dyDescent="0.25">
      <c r="B249" s="24" t="s">
        <v>73</v>
      </c>
    </row>
    <row r="250" spans="2:2" x14ac:dyDescent="0.25">
      <c r="B250" s="24" t="s">
        <v>74</v>
      </c>
    </row>
    <row r="251" spans="2:2" x14ac:dyDescent="0.25">
      <c r="B251" s="24" t="s">
        <v>75</v>
      </c>
    </row>
    <row r="252" spans="2:2" x14ac:dyDescent="0.25">
      <c r="B252" s="24" t="s">
        <v>76</v>
      </c>
    </row>
    <row r="253" spans="2:2" x14ac:dyDescent="0.25">
      <c r="B253" s="24" t="s">
        <v>77</v>
      </c>
    </row>
    <row r="254" spans="2:2" x14ac:dyDescent="0.25">
      <c r="B254" s="24" t="s">
        <v>78</v>
      </c>
    </row>
    <row r="255" spans="2:2" x14ac:dyDescent="0.25">
      <c r="B255" s="24" t="s">
        <v>79</v>
      </c>
    </row>
    <row r="256" spans="2:2" x14ac:dyDescent="0.25">
      <c r="B256" s="24" t="s">
        <v>80</v>
      </c>
    </row>
    <row r="257" spans="1:2" x14ac:dyDescent="0.25">
      <c r="B257" s="24" t="s">
        <v>81</v>
      </c>
    </row>
    <row r="258" spans="1:2" x14ac:dyDescent="0.25">
      <c r="B258" s="24" t="s">
        <v>82</v>
      </c>
    </row>
    <row r="259" spans="1:2" x14ac:dyDescent="0.25">
      <c r="B259" s="24" t="s">
        <v>83</v>
      </c>
    </row>
    <row r="260" spans="1:2" x14ac:dyDescent="0.25">
      <c r="B260" s="24" t="s">
        <v>84</v>
      </c>
    </row>
    <row r="261" spans="1:2" x14ac:dyDescent="0.25">
      <c r="B261" s="24" t="s">
        <v>85</v>
      </c>
    </row>
    <row r="262" spans="1:2" x14ac:dyDescent="0.25">
      <c r="B262" s="24" t="s">
        <v>86</v>
      </c>
    </row>
    <row r="263" spans="1:2" x14ac:dyDescent="0.25">
      <c r="B263" s="24" t="s">
        <v>87</v>
      </c>
    </row>
    <row r="264" spans="1:2" x14ac:dyDescent="0.25">
      <c r="B264" s="24" t="s">
        <v>88</v>
      </c>
    </row>
    <row r="265" spans="1:2" x14ac:dyDescent="0.25">
      <c r="B265" s="24" t="s">
        <v>89</v>
      </c>
    </row>
    <row r="266" spans="1:2" x14ac:dyDescent="0.25">
      <c r="B266" s="24" t="s">
        <v>90</v>
      </c>
    </row>
    <row r="267" spans="1:2" x14ac:dyDescent="0.25">
      <c r="B267" s="24" t="s">
        <v>91</v>
      </c>
    </row>
    <row r="268" spans="1:2" x14ac:dyDescent="0.25">
      <c r="B268" s="24" t="s">
        <v>92</v>
      </c>
    </row>
    <row r="269" spans="1:2" x14ac:dyDescent="0.25">
      <c r="B269" s="24" t="s">
        <v>93</v>
      </c>
    </row>
    <row r="270" spans="1:2" x14ac:dyDescent="0.25">
      <c r="B270" s="24" t="s">
        <v>94</v>
      </c>
    </row>
    <row r="271" spans="1:2" x14ac:dyDescent="0.25">
      <c r="B271" s="24" t="s">
        <v>95</v>
      </c>
    </row>
    <row r="272" spans="1:2" x14ac:dyDescent="0.25">
      <c r="A272">
        <f>A165+17</f>
        <v>43</v>
      </c>
      <c r="B272" s="24" t="str" cm="1">
        <f t="array" aca="1" ref="B272" ca="1">"#define ACCESS_REG"&amp;A164&amp;"   "&amp;MID(INDIRECT("B"&amp;INDIRECT("CONFIG!A"&amp;A272)+129),13,8)</f>
        <v>#define ACCESS_REG1   0x020000</v>
      </c>
    </row>
    <row r="273" spans="1:2" x14ac:dyDescent="0.25">
      <c r="B273" s="24" t="str">
        <f>"#define TEXSCB_REG"&amp;A164&amp;" (ACCESS_REG"&amp;A164&amp;" | SHARE_REG"&amp;A164&amp;")"</f>
        <v>#define TEXSCB_REG1 (ACCESS_REG1 | SHARE_REG1)</v>
      </c>
    </row>
    <row r="274" spans="1:2" x14ac:dyDescent="0.25">
      <c r="B274" s="24" t="str">
        <f>"//   &lt;/e&gt;   //MPU Region "&amp;A164&amp;" ********************************"</f>
        <v>//   &lt;/e&gt;   //MPU Region 1 ********************************</v>
      </c>
    </row>
    <row r="275" spans="1:2" x14ac:dyDescent="0.25">
      <c r="B275" s="24"/>
    </row>
    <row r="276" spans="1:2" x14ac:dyDescent="0.25">
      <c r="A276" s="2">
        <f>A164+1</f>
        <v>2</v>
      </c>
      <c r="B276" s="24" t="str">
        <f>"// MPU Region "&amp;A276&amp;" ********************************"</f>
        <v>// MPU Region 2 ********************************</v>
      </c>
    </row>
    <row r="277" spans="1:2" x14ac:dyDescent="0.25">
      <c r="A277" s="2">
        <f>A165+19</f>
        <v>45</v>
      </c>
      <c r="B277" s="24" t="str">
        <f>"// &lt;e&gt;Configure MPU Region "&amp;A276</f>
        <v>// &lt;e&gt;Configure MPU Region 2</v>
      </c>
    </row>
    <row r="278" spans="1:2" x14ac:dyDescent="0.25">
      <c r="B278" s="24" t="s">
        <v>186</v>
      </c>
    </row>
    <row r="279" spans="1:2" x14ac:dyDescent="0.25">
      <c r="A279">
        <f>A277</f>
        <v>45</v>
      </c>
      <c r="B279" s="24" t="str">
        <f ca="1">"#define CONFIG_REG"&amp;A276&amp;"   "&amp;N(INDIRECT("CONFIG!A"&amp;A279))</f>
        <v>#define CONFIG_REG2   0</v>
      </c>
    </row>
    <row r="280" spans="1:2" x14ac:dyDescent="0.25">
      <c r="B280" s="24" t="s">
        <v>10</v>
      </c>
    </row>
    <row r="281" spans="1:2" x14ac:dyDescent="0.25">
      <c r="A281">
        <f>A277+1</f>
        <v>46</v>
      </c>
      <c r="B281" s="24" t="str">
        <f ca="1">"#define ENABLE_REG"&amp;A276&amp;"   "&amp;N(INDIRECT("CONFIG!A"&amp;A281))</f>
        <v>#define ENABLE_REG2   1</v>
      </c>
    </row>
    <row r="282" spans="1:2" x14ac:dyDescent="0.25">
      <c r="B282" s="24" t="s">
        <v>11</v>
      </c>
    </row>
    <row r="283" spans="1:2" x14ac:dyDescent="0.25">
      <c r="B283" s="24" t="s">
        <v>12</v>
      </c>
    </row>
    <row r="284" spans="1:2" x14ac:dyDescent="0.25">
      <c r="A284">
        <f>A277+2</f>
        <v>47</v>
      </c>
      <c r="B284" s="24" t="str" cm="1">
        <f t="array" aca="1" ref="B284" ca="1">"#define BASE_REG"&amp;A276&amp;"   "&amp;INDIRECT("CONFIG!A"&amp;A284)</f>
        <v>#define BASE_REG2   00000000</v>
      </c>
    </row>
    <row r="285" spans="1:2" x14ac:dyDescent="0.25">
      <c r="B285" s="24" t="s">
        <v>13</v>
      </c>
    </row>
    <row r="286" spans="1:2" x14ac:dyDescent="0.25">
      <c r="B286" s="24" t="s">
        <v>14</v>
      </c>
    </row>
    <row r="287" spans="1:2" x14ac:dyDescent="0.25">
      <c r="B287" s="24" t="s">
        <v>15</v>
      </c>
    </row>
    <row r="288" spans="1:2" x14ac:dyDescent="0.25">
      <c r="B288" s="24" t="s">
        <v>16</v>
      </c>
    </row>
    <row r="289" spans="2:2" x14ac:dyDescent="0.25">
      <c r="B289" s="24" t="s">
        <v>17</v>
      </c>
    </row>
    <row r="290" spans="2:2" x14ac:dyDescent="0.25">
      <c r="B290" s="24" t="s">
        <v>18</v>
      </c>
    </row>
    <row r="291" spans="2:2" x14ac:dyDescent="0.25">
      <c r="B291" s="24" t="s">
        <v>19</v>
      </c>
    </row>
    <row r="292" spans="2:2" x14ac:dyDescent="0.25">
      <c r="B292" s="24" t="s">
        <v>20</v>
      </c>
    </row>
    <row r="293" spans="2:2" x14ac:dyDescent="0.25">
      <c r="B293" s="24" t="s">
        <v>21</v>
      </c>
    </row>
    <row r="294" spans="2:2" x14ac:dyDescent="0.25">
      <c r="B294" s="24" t="s">
        <v>22</v>
      </c>
    </row>
    <row r="295" spans="2:2" x14ac:dyDescent="0.25">
      <c r="B295" s="24" t="s">
        <v>23</v>
      </c>
    </row>
    <row r="296" spans="2:2" x14ac:dyDescent="0.25">
      <c r="B296" s="24" t="s">
        <v>24</v>
      </c>
    </row>
    <row r="297" spans="2:2" x14ac:dyDescent="0.25">
      <c r="B297" s="24" t="s">
        <v>25</v>
      </c>
    </row>
    <row r="298" spans="2:2" x14ac:dyDescent="0.25">
      <c r="B298" s="24" t="s">
        <v>26</v>
      </c>
    </row>
    <row r="299" spans="2:2" x14ac:dyDescent="0.25">
      <c r="B299" s="24" t="s">
        <v>27</v>
      </c>
    </row>
    <row r="300" spans="2:2" x14ac:dyDescent="0.25">
      <c r="B300" s="24" t="s">
        <v>28</v>
      </c>
    </row>
    <row r="301" spans="2:2" x14ac:dyDescent="0.25">
      <c r="B301" s="24" t="s">
        <v>29</v>
      </c>
    </row>
    <row r="302" spans="2:2" x14ac:dyDescent="0.25">
      <c r="B302" s="24" t="s">
        <v>30</v>
      </c>
    </row>
    <row r="303" spans="2:2" x14ac:dyDescent="0.25">
      <c r="B303" s="24" t="s">
        <v>31</v>
      </c>
    </row>
    <row r="304" spans="2:2" x14ac:dyDescent="0.25">
      <c r="B304" s="24" t="s">
        <v>32</v>
      </c>
    </row>
    <row r="305" spans="1:2" x14ac:dyDescent="0.25">
      <c r="B305" s="24" t="s">
        <v>33</v>
      </c>
    </row>
    <row r="306" spans="1:2" x14ac:dyDescent="0.25">
      <c r="B306" s="24" t="s">
        <v>34</v>
      </c>
    </row>
    <row r="307" spans="1:2" x14ac:dyDescent="0.25">
      <c r="B307" s="24" t="s">
        <v>35</v>
      </c>
    </row>
    <row r="308" spans="1:2" x14ac:dyDescent="0.25">
      <c r="B308" s="24" t="s">
        <v>36</v>
      </c>
    </row>
    <row r="309" spans="1:2" x14ac:dyDescent="0.25">
      <c r="B309" s="24" t="s">
        <v>37</v>
      </c>
    </row>
    <row r="310" spans="1:2" x14ac:dyDescent="0.25">
      <c r="B310" s="24" t="s">
        <v>38</v>
      </c>
    </row>
    <row r="311" spans="1:2" x14ac:dyDescent="0.25">
      <c r="B311" s="24" t="s">
        <v>39</v>
      </c>
    </row>
    <row r="312" spans="1:2" x14ac:dyDescent="0.25">
      <c r="B312" s="24" t="s">
        <v>40</v>
      </c>
    </row>
    <row r="313" spans="1:2" x14ac:dyDescent="0.25">
      <c r="B313" s="24" t="s">
        <v>41</v>
      </c>
    </row>
    <row r="314" spans="1:2" x14ac:dyDescent="0.25">
      <c r="A314">
        <f>A277+3</f>
        <v>48</v>
      </c>
      <c r="B314" s="24" t="str" cm="1">
        <f t="array" aca="1" ref="B314" ca="1">"#define SIZE_REG"&amp;A276&amp;"   "&amp;INDIRECT("CONFIG!A"&amp;A314)+3</f>
        <v>#define SIZE_REG2   4</v>
      </c>
    </row>
    <row r="315" spans="1:2" x14ac:dyDescent="0.25">
      <c r="B315" s="24" t="s">
        <v>42</v>
      </c>
    </row>
    <row r="316" spans="1:2" x14ac:dyDescent="0.25">
      <c r="B316" s="24" t="s">
        <v>43</v>
      </c>
    </row>
    <row r="317" spans="1:2" x14ac:dyDescent="0.25">
      <c r="B317" s="24" t="s">
        <v>44</v>
      </c>
    </row>
    <row r="318" spans="1:2" x14ac:dyDescent="0.25">
      <c r="B318" s="24" t="s">
        <v>45</v>
      </c>
    </row>
    <row r="319" spans="1:2" x14ac:dyDescent="0.25">
      <c r="B319" s="24" t="s">
        <v>46</v>
      </c>
    </row>
    <row r="320" spans="1:2" x14ac:dyDescent="0.25">
      <c r="A320">
        <f>A277+6</f>
        <v>51</v>
      </c>
      <c r="B320" s="24" t="str">
        <f ca="1">"#define SRD_USE_REG"&amp;A276&amp;"  "&amp;N(OR(INDIRECT("CONFIG!A"&amp;A320&amp;":A"&amp;A320+7&amp;"")))</f>
        <v>#define SRD_USE_REG2  0</v>
      </c>
    </row>
    <row r="321" spans="1:2" x14ac:dyDescent="0.25">
      <c r="B321" s="24" t="s">
        <v>47</v>
      </c>
    </row>
    <row r="322" spans="1:2" x14ac:dyDescent="0.25">
      <c r="A322">
        <f>A277+6</f>
        <v>51</v>
      </c>
      <c r="B322" s="24" t="str">
        <f ca="1">"#define SRD0_REG"&amp;A276&amp;"   "&amp;N(INDIRECT("CONFIG!A"&amp;A322))</f>
        <v>#define SRD0_REG2   0</v>
      </c>
    </row>
    <row r="323" spans="1:2" x14ac:dyDescent="0.25">
      <c r="B323" s="24" t="s">
        <v>48</v>
      </c>
    </row>
    <row r="324" spans="1:2" x14ac:dyDescent="0.25">
      <c r="A324">
        <f>A277+7</f>
        <v>52</v>
      </c>
      <c r="B324" s="24" t="str">
        <f ca="1">"#define SRD1_REG"&amp;A276&amp;"   "&amp;N(INDIRECT("CONFIG!A"&amp;A324))*2</f>
        <v>#define SRD1_REG2   0</v>
      </c>
    </row>
    <row r="325" spans="1:2" x14ac:dyDescent="0.25">
      <c r="B325" s="24" t="s">
        <v>49</v>
      </c>
    </row>
    <row r="326" spans="1:2" x14ac:dyDescent="0.25">
      <c r="A326">
        <f>A277+8</f>
        <v>53</v>
      </c>
      <c r="B326" s="24" t="str">
        <f ca="1">"#define SRD2_REG"&amp;A276&amp;"   "&amp;N(INDIRECT("CONFIG!A"&amp;A326))*4</f>
        <v>#define SRD2_REG2   0</v>
      </c>
    </row>
    <row r="327" spans="1:2" x14ac:dyDescent="0.25">
      <c r="B327" s="24" t="s">
        <v>50</v>
      </c>
    </row>
    <row r="328" spans="1:2" x14ac:dyDescent="0.25">
      <c r="A328">
        <f>A277+9</f>
        <v>54</v>
      </c>
      <c r="B328" s="24" t="str">
        <f ca="1">"#define SRD3_REG"&amp;A276&amp;"   "&amp;N(INDIRECT("CONFIG!A"&amp;A328))*8</f>
        <v>#define SRD3_REG2   0</v>
      </c>
    </row>
    <row r="329" spans="1:2" x14ac:dyDescent="0.25">
      <c r="B329" s="24" t="s">
        <v>51</v>
      </c>
    </row>
    <row r="330" spans="1:2" x14ac:dyDescent="0.25">
      <c r="A330">
        <f>A277+10</f>
        <v>55</v>
      </c>
      <c r="B330" s="24" t="str">
        <f ca="1">"#define SRD4_REG"&amp;A276&amp;"   "&amp;N(INDIRECT("CONFIG!A"&amp;A330))*16</f>
        <v>#define SRD4_REG2   0</v>
      </c>
    </row>
    <row r="331" spans="1:2" x14ac:dyDescent="0.25">
      <c r="B331" s="24" t="s">
        <v>52</v>
      </c>
    </row>
    <row r="332" spans="1:2" x14ac:dyDescent="0.25">
      <c r="A332">
        <f>A277+11</f>
        <v>56</v>
      </c>
      <c r="B332" s="24" t="str">
        <f ca="1">"#define SRD5_REG"&amp;A276&amp;"   "&amp;N(INDIRECT("CONFIG!A"&amp;A332))*32</f>
        <v>#define SRD5_REG2   0</v>
      </c>
    </row>
    <row r="333" spans="1:2" x14ac:dyDescent="0.25">
      <c r="B333" s="24" t="s">
        <v>53</v>
      </c>
    </row>
    <row r="334" spans="1:2" x14ac:dyDescent="0.25">
      <c r="A334">
        <f>A277+12</f>
        <v>57</v>
      </c>
      <c r="B334" s="24" t="str">
        <f ca="1">"#define SRD6_REG"&amp;A276&amp;"   "&amp;N(INDIRECT("CONFIG!A"&amp;A334))*64</f>
        <v>#define SRD6_REG2   0</v>
      </c>
    </row>
    <row r="335" spans="1:2" x14ac:dyDescent="0.25">
      <c r="B335" s="24" t="s">
        <v>54</v>
      </c>
    </row>
    <row r="336" spans="1:2" x14ac:dyDescent="0.25">
      <c r="A336">
        <f>A277+13</f>
        <v>58</v>
      </c>
      <c r="B336" s="24" t="str">
        <f ca="1">"#define SRD7_REG"&amp;A276&amp;"   "&amp;N(INDIRECT("CONFIG!A"&amp;A336))*128</f>
        <v>#define SRD7_REG2   0</v>
      </c>
    </row>
    <row r="337" spans="1:2" x14ac:dyDescent="0.25">
      <c r="B337" s="24" t="str">
        <f>"#define SRD_REG"&amp;A276&amp;" ((SRD_USE_REG"&amp;A276&amp;" == 0)?0: (SRD0_REG"&amp;A276&amp;" | SRD1_REG"&amp;A276&amp;" | SRD2_REG"&amp;A276&amp;" | SRD3_REG"&amp;A276&amp;" |\"</f>
        <v>#define SRD_REG2 ((SRD_USE_REG2 == 0)?0: (SRD0_REG2 | SRD1_REG2 | SRD2_REG2 | SRD3_REG2 |\</v>
      </c>
    </row>
    <row r="338" spans="1:2" x14ac:dyDescent="0.25">
      <c r="B338" s="24" t="str">
        <f>"                      SRD4_REG"&amp;A276&amp;" | SRD5_REG"&amp;A276&amp;" | SRD6_REG"&amp;A276&amp;" | SRD7_REG"&amp;A276&amp;" ))"</f>
        <v xml:space="preserve">                      SRD4_REG2 | SRD5_REG2 | SRD6_REG2 | SRD7_REG2 ))</v>
      </c>
    </row>
    <row r="339" spans="1:2" x14ac:dyDescent="0.25">
      <c r="B339" s="24" t="s">
        <v>55</v>
      </c>
    </row>
    <row r="340" spans="1:2" x14ac:dyDescent="0.25">
      <c r="B340" s="24" t="s">
        <v>56</v>
      </c>
    </row>
    <row r="341" spans="1:2" x14ac:dyDescent="0.25">
      <c r="B341" s="24" t="s">
        <v>57</v>
      </c>
    </row>
    <row r="342" spans="1:2" x14ac:dyDescent="0.25">
      <c r="B342" s="24" t="s">
        <v>58</v>
      </c>
    </row>
    <row r="343" spans="1:2" x14ac:dyDescent="0.25">
      <c r="B343" s="24" t="s">
        <v>59</v>
      </c>
    </row>
    <row r="344" spans="1:2" x14ac:dyDescent="0.25">
      <c r="B344" s="24" t="s">
        <v>60</v>
      </c>
    </row>
    <row r="345" spans="1:2" x14ac:dyDescent="0.25">
      <c r="B345" s="24" t="s">
        <v>61</v>
      </c>
    </row>
    <row r="346" spans="1:2" x14ac:dyDescent="0.25">
      <c r="B346" s="24" t="s">
        <v>62</v>
      </c>
    </row>
    <row r="347" spans="1:2" x14ac:dyDescent="0.25">
      <c r="A347">
        <f>A277+14</f>
        <v>59</v>
      </c>
      <c r="B347" s="24" t="str" cm="1">
        <f t="array" aca="1" ref="B347" ca="1">"#define PERM_REG"&amp;A276&amp;"   "&amp;INDIRECT("CONFIG!A"&amp;A347)-IF(INDIRECT("CONFIG!A"&amp;A347)&lt;6,1,0)</f>
        <v>#define PERM_REG2   0</v>
      </c>
    </row>
    <row r="348" spans="1:2" x14ac:dyDescent="0.25">
      <c r="B348" s="24" t="s">
        <v>63</v>
      </c>
    </row>
    <row r="349" spans="1:2" x14ac:dyDescent="0.25">
      <c r="A349">
        <f>A277+15</f>
        <v>60</v>
      </c>
      <c r="B349" s="24" t="str">
        <f ca="1">"#define XN_REG"&amp;A276&amp;"   "&amp;N(INDIRECT("CONFIG!A"&amp;A349))</f>
        <v>#define XN_REG2   0</v>
      </c>
    </row>
    <row r="350" spans="1:2" x14ac:dyDescent="0.25">
      <c r="B350" s="24" t="s">
        <v>259</v>
      </c>
    </row>
    <row r="351" spans="1:2" x14ac:dyDescent="0.25">
      <c r="B351" s="24" t="s">
        <v>64</v>
      </c>
    </row>
    <row r="352" spans="1:2" x14ac:dyDescent="0.25">
      <c r="A352">
        <f>A277+16</f>
        <v>61</v>
      </c>
      <c r="B352" s="24" t="str">
        <f ca="1">"#define SHARE_REG"&amp;A276&amp;"   "&amp;"("&amp;N(INDIRECT("CONFIG!A"&amp;A352))&amp;"&lt;&lt;MPU_RASR_S_Pos)"</f>
        <v>#define SHARE_REG2   (1&lt;&lt;MPU_RASR_S_Pos)</v>
      </c>
    </row>
    <row r="353" spans="2:2" x14ac:dyDescent="0.25">
      <c r="B353" s="24" t="s">
        <v>65</v>
      </c>
    </row>
    <row r="354" spans="2:2" x14ac:dyDescent="0.25">
      <c r="B354" s="24" t="s">
        <v>66</v>
      </c>
    </row>
    <row r="355" spans="2:2" x14ac:dyDescent="0.25">
      <c r="B355" s="24" t="s">
        <v>67</v>
      </c>
    </row>
    <row r="356" spans="2:2" x14ac:dyDescent="0.25">
      <c r="B356" s="24" t="s">
        <v>68</v>
      </c>
    </row>
    <row r="357" spans="2:2" x14ac:dyDescent="0.25">
      <c r="B357" s="24" t="s">
        <v>69</v>
      </c>
    </row>
    <row r="358" spans="2:2" x14ac:dyDescent="0.25">
      <c r="B358" s="24" t="s">
        <v>70</v>
      </c>
    </row>
    <row r="359" spans="2:2" x14ac:dyDescent="0.25">
      <c r="B359" s="24" t="s">
        <v>71</v>
      </c>
    </row>
    <row r="360" spans="2:2" x14ac:dyDescent="0.25">
      <c r="B360" s="24" t="s">
        <v>72</v>
      </c>
    </row>
    <row r="361" spans="2:2" x14ac:dyDescent="0.25">
      <c r="B361" s="24" t="s">
        <v>73</v>
      </c>
    </row>
    <row r="362" spans="2:2" x14ac:dyDescent="0.25">
      <c r="B362" s="24" t="s">
        <v>74</v>
      </c>
    </row>
    <row r="363" spans="2:2" x14ac:dyDescent="0.25">
      <c r="B363" s="24" t="s">
        <v>75</v>
      </c>
    </row>
    <row r="364" spans="2:2" x14ac:dyDescent="0.25">
      <c r="B364" s="24" t="s">
        <v>76</v>
      </c>
    </row>
    <row r="365" spans="2:2" x14ac:dyDescent="0.25">
      <c r="B365" s="24" t="s">
        <v>77</v>
      </c>
    </row>
    <row r="366" spans="2:2" x14ac:dyDescent="0.25">
      <c r="B366" s="24" t="s">
        <v>78</v>
      </c>
    </row>
    <row r="367" spans="2:2" x14ac:dyDescent="0.25">
      <c r="B367" s="24" t="s">
        <v>79</v>
      </c>
    </row>
    <row r="368" spans="2:2" x14ac:dyDescent="0.25">
      <c r="B368" s="24" t="s">
        <v>80</v>
      </c>
    </row>
    <row r="369" spans="1:2" x14ac:dyDescent="0.25">
      <c r="B369" s="24" t="s">
        <v>81</v>
      </c>
    </row>
    <row r="370" spans="1:2" x14ac:dyDescent="0.25">
      <c r="B370" s="24" t="s">
        <v>82</v>
      </c>
    </row>
    <row r="371" spans="1:2" x14ac:dyDescent="0.25">
      <c r="B371" s="24" t="s">
        <v>83</v>
      </c>
    </row>
    <row r="372" spans="1:2" x14ac:dyDescent="0.25">
      <c r="B372" s="24" t="s">
        <v>84</v>
      </c>
    </row>
    <row r="373" spans="1:2" x14ac:dyDescent="0.25">
      <c r="B373" s="24" t="s">
        <v>85</v>
      </c>
    </row>
    <row r="374" spans="1:2" x14ac:dyDescent="0.25">
      <c r="B374" s="24" t="s">
        <v>86</v>
      </c>
    </row>
    <row r="375" spans="1:2" x14ac:dyDescent="0.25">
      <c r="B375" s="24" t="s">
        <v>87</v>
      </c>
    </row>
    <row r="376" spans="1:2" x14ac:dyDescent="0.25">
      <c r="B376" s="24" t="s">
        <v>88</v>
      </c>
    </row>
    <row r="377" spans="1:2" x14ac:dyDescent="0.25">
      <c r="B377" s="24" t="s">
        <v>89</v>
      </c>
    </row>
    <row r="378" spans="1:2" x14ac:dyDescent="0.25">
      <c r="B378" s="24" t="s">
        <v>90</v>
      </c>
    </row>
    <row r="379" spans="1:2" x14ac:dyDescent="0.25">
      <c r="B379" s="24" t="s">
        <v>91</v>
      </c>
    </row>
    <row r="380" spans="1:2" x14ac:dyDescent="0.25">
      <c r="B380" s="24" t="s">
        <v>92</v>
      </c>
    </row>
    <row r="381" spans="1:2" x14ac:dyDescent="0.25">
      <c r="B381" s="24" t="s">
        <v>93</v>
      </c>
    </row>
    <row r="382" spans="1:2" x14ac:dyDescent="0.25">
      <c r="B382" s="24" t="s">
        <v>94</v>
      </c>
    </row>
    <row r="383" spans="1:2" x14ac:dyDescent="0.25">
      <c r="B383" s="24" t="s">
        <v>95</v>
      </c>
    </row>
    <row r="384" spans="1:2" x14ac:dyDescent="0.25">
      <c r="A384">
        <f>A277+17</f>
        <v>62</v>
      </c>
      <c r="B384" s="24" t="str" cm="1">
        <f t="array" aca="1" ref="B384" ca="1">"#define ACCESS_REG"&amp;A276&amp;"   "&amp;MID(INDIRECT("B"&amp;INDIRECT("CONFIG!A"&amp;A384)+129),13,8)</f>
        <v>#define ACCESS_REG2   0x020000</v>
      </c>
    </row>
    <row r="385" spans="1:2" x14ac:dyDescent="0.25">
      <c r="B385" s="24" t="str">
        <f>"#define TEXSCB_REG"&amp;A276&amp;" (ACCESS_REG"&amp;A276&amp;" | SHARE_REG"&amp;A276&amp;")"</f>
        <v>#define TEXSCB_REG2 (ACCESS_REG2 | SHARE_REG2)</v>
      </c>
    </row>
    <row r="386" spans="1:2" x14ac:dyDescent="0.25">
      <c r="B386" s="24" t="str">
        <f>"//   &lt;/e&gt;   //MPU Region "&amp;A276&amp;" ********************************"</f>
        <v>//   &lt;/e&gt;   //MPU Region 2 ********************************</v>
      </c>
    </row>
    <row r="387" spans="1:2" x14ac:dyDescent="0.25">
      <c r="B387" s="24"/>
    </row>
    <row r="388" spans="1:2" x14ac:dyDescent="0.25">
      <c r="A388" s="2">
        <f>A276+1</f>
        <v>3</v>
      </c>
      <c r="B388" s="24" t="str">
        <f>"// MPU Region "&amp;A388&amp;" ********************************"</f>
        <v>// MPU Region 3 ********************************</v>
      </c>
    </row>
    <row r="389" spans="1:2" x14ac:dyDescent="0.25">
      <c r="A389" s="2">
        <f>A277+19</f>
        <v>64</v>
      </c>
      <c r="B389" s="24" t="str">
        <f>"// &lt;e&gt;Configure MPU Region "&amp;A388</f>
        <v>// &lt;e&gt;Configure MPU Region 3</v>
      </c>
    </row>
    <row r="390" spans="1:2" x14ac:dyDescent="0.25">
      <c r="B390" s="24" t="s">
        <v>186</v>
      </c>
    </row>
    <row r="391" spans="1:2" x14ac:dyDescent="0.25">
      <c r="A391">
        <f>A389</f>
        <v>64</v>
      </c>
      <c r="B391" s="24" t="str">
        <f ca="1">"#define CONFIG_REG"&amp;A388&amp;"   "&amp;N(INDIRECT("CONFIG!A"&amp;A391))</f>
        <v>#define CONFIG_REG3   0</v>
      </c>
    </row>
    <row r="392" spans="1:2" x14ac:dyDescent="0.25">
      <c r="B392" s="24" t="s">
        <v>10</v>
      </c>
    </row>
    <row r="393" spans="1:2" x14ac:dyDescent="0.25">
      <c r="A393">
        <f>A389+1</f>
        <v>65</v>
      </c>
      <c r="B393" s="24" t="str">
        <f ca="1">"#define ENABLE_REG"&amp;A388&amp;"   "&amp;N(INDIRECT("CONFIG!A"&amp;A393))</f>
        <v>#define ENABLE_REG3   1</v>
      </c>
    </row>
    <row r="394" spans="1:2" x14ac:dyDescent="0.25">
      <c r="B394" s="24" t="s">
        <v>11</v>
      </c>
    </row>
    <row r="395" spans="1:2" x14ac:dyDescent="0.25">
      <c r="B395" s="24" t="s">
        <v>12</v>
      </c>
    </row>
    <row r="396" spans="1:2" x14ac:dyDescent="0.25">
      <c r="A396">
        <f>A389+2</f>
        <v>66</v>
      </c>
      <c r="B396" s="24" t="str" cm="1">
        <f t="array" aca="1" ref="B396" ca="1">"#define BASE_REG"&amp;A388&amp;"   "&amp;INDIRECT("CONFIG!A"&amp;A396)</f>
        <v>#define BASE_REG3   00000000</v>
      </c>
    </row>
    <row r="397" spans="1:2" x14ac:dyDescent="0.25">
      <c r="B397" s="24" t="s">
        <v>13</v>
      </c>
    </row>
    <row r="398" spans="1:2" x14ac:dyDescent="0.25">
      <c r="B398" s="24" t="s">
        <v>14</v>
      </c>
    </row>
    <row r="399" spans="1:2" x14ac:dyDescent="0.25">
      <c r="B399" s="24" t="s">
        <v>15</v>
      </c>
    </row>
    <row r="400" spans="1:2" x14ac:dyDescent="0.25">
      <c r="B400" s="24" t="s">
        <v>16</v>
      </c>
    </row>
    <row r="401" spans="2:2" x14ac:dyDescent="0.25">
      <c r="B401" s="24" t="s">
        <v>17</v>
      </c>
    </row>
    <row r="402" spans="2:2" x14ac:dyDescent="0.25">
      <c r="B402" s="24" t="s">
        <v>18</v>
      </c>
    </row>
    <row r="403" spans="2:2" x14ac:dyDescent="0.25">
      <c r="B403" s="24" t="s">
        <v>19</v>
      </c>
    </row>
    <row r="404" spans="2:2" x14ac:dyDescent="0.25">
      <c r="B404" s="24" t="s">
        <v>20</v>
      </c>
    </row>
    <row r="405" spans="2:2" x14ac:dyDescent="0.25">
      <c r="B405" s="24" t="s">
        <v>21</v>
      </c>
    </row>
    <row r="406" spans="2:2" x14ac:dyDescent="0.25">
      <c r="B406" s="24" t="s">
        <v>22</v>
      </c>
    </row>
    <row r="407" spans="2:2" x14ac:dyDescent="0.25">
      <c r="B407" s="24" t="s">
        <v>23</v>
      </c>
    </row>
    <row r="408" spans="2:2" x14ac:dyDescent="0.25">
      <c r="B408" s="24" t="s">
        <v>24</v>
      </c>
    </row>
    <row r="409" spans="2:2" x14ac:dyDescent="0.25">
      <c r="B409" s="24" t="s">
        <v>25</v>
      </c>
    </row>
    <row r="410" spans="2:2" x14ac:dyDescent="0.25">
      <c r="B410" s="24" t="s">
        <v>26</v>
      </c>
    </row>
    <row r="411" spans="2:2" x14ac:dyDescent="0.25">
      <c r="B411" s="24" t="s">
        <v>27</v>
      </c>
    </row>
    <row r="412" spans="2:2" x14ac:dyDescent="0.25">
      <c r="B412" s="24" t="s">
        <v>28</v>
      </c>
    </row>
    <row r="413" spans="2:2" x14ac:dyDescent="0.25">
      <c r="B413" s="24" t="s">
        <v>29</v>
      </c>
    </row>
    <row r="414" spans="2:2" x14ac:dyDescent="0.25">
      <c r="B414" s="24" t="s">
        <v>30</v>
      </c>
    </row>
    <row r="415" spans="2:2" x14ac:dyDescent="0.25">
      <c r="B415" s="24" t="s">
        <v>31</v>
      </c>
    </row>
    <row r="416" spans="2:2" x14ac:dyDescent="0.25">
      <c r="B416" s="24" t="s">
        <v>32</v>
      </c>
    </row>
    <row r="417" spans="1:2" x14ac:dyDescent="0.25">
      <c r="B417" s="24" t="s">
        <v>33</v>
      </c>
    </row>
    <row r="418" spans="1:2" x14ac:dyDescent="0.25">
      <c r="B418" s="24" t="s">
        <v>34</v>
      </c>
    </row>
    <row r="419" spans="1:2" x14ac:dyDescent="0.25">
      <c r="B419" s="24" t="s">
        <v>35</v>
      </c>
    </row>
    <row r="420" spans="1:2" x14ac:dyDescent="0.25">
      <c r="B420" s="24" t="s">
        <v>36</v>
      </c>
    </row>
    <row r="421" spans="1:2" x14ac:dyDescent="0.25">
      <c r="B421" s="24" t="s">
        <v>37</v>
      </c>
    </row>
    <row r="422" spans="1:2" x14ac:dyDescent="0.25">
      <c r="B422" s="24" t="s">
        <v>38</v>
      </c>
    </row>
    <row r="423" spans="1:2" x14ac:dyDescent="0.25">
      <c r="B423" s="24" t="s">
        <v>39</v>
      </c>
    </row>
    <row r="424" spans="1:2" x14ac:dyDescent="0.25">
      <c r="B424" s="24" t="s">
        <v>40</v>
      </c>
    </row>
    <row r="425" spans="1:2" x14ac:dyDescent="0.25">
      <c r="B425" s="24" t="s">
        <v>41</v>
      </c>
    </row>
    <row r="426" spans="1:2" x14ac:dyDescent="0.25">
      <c r="A426">
        <f>A389+3</f>
        <v>67</v>
      </c>
      <c r="B426" s="24" t="str" cm="1">
        <f t="array" aca="1" ref="B426" ca="1">"#define SIZE_REG"&amp;A388&amp;"   "&amp;INDIRECT("CONFIG!A"&amp;A426)+3</f>
        <v>#define SIZE_REG3   4</v>
      </c>
    </row>
    <row r="427" spans="1:2" x14ac:dyDescent="0.25">
      <c r="B427" s="24" t="s">
        <v>42</v>
      </c>
    </row>
    <row r="428" spans="1:2" x14ac:dyDescent="0.25">
      <c r="B428" s="24" t="s">
        <v>43</v>
      </c>
    </row>
    <row r="429" spans="1:2" x14ac:dyDescent="0.25">
      <c r="B429" s="24" t="s">
        <v>44</v>
      </c>
    </row>
    <row r="430" spans="1:2" x14ac:dyDescent="0.25">
      <c r="B430" s="24" t="s">
        <v>45</v>
      </c>
    </row>
    <row r="431" spans="1:2" x14ac:dyDescent="0.25">
      <c r="B431" s="24" t="s">
        <v>46</v>
      </c>
    </row>
    <row r="432" spans="1:2" x14ac:dyDescent="0.25">
      <c r="A432">
        <f>A389+6</f>
        <v>70</v>
      </c>
      <c r="B432" s="24" t="str">
        <f ca="1">"#define SRD_USE_REG"&amp;A388&amp;"  "&amp;N(OR(INDIRECT("CONFIG!A"&amp;A432&amp;":A"&amp;A432+7&amp;"")))</f>
        <v>#define SRD_USE_REG3  0</v>
      </c>
    </row>
    <row r="433" spans="1:2" x14ac:dyDescent="0.25">
      <c r="B433" s="24" t="s">
        <v>47</v>
      </c>
    </row>
    <row r="434" spans="1:2" x14ac:dyDescent="0.25">
      <c r="A434">
        <f>A389+6</f>
        <v>70</v>
      </c>
      <c r="B434" s="24" t="str">
        <f ca="1">"#define SRD0_REG"&amp;A388&amp;"   "&amp;N(INDIRECT("CONFIG!A"&amp;A434))</f>
        <v>#define SRD0_REG3   0</v>
      </c>
    </row>
    <row r="435" spans="1:2" x14ac:dyDescent="0.25">
      <c r="B435" s="24" t="s">
        <v>48</v>
      </c>
    </row>
    <row r="436" spans="1:2" x14ac:dyDescent="0.25">
      <c r="A436">
        <f>A389+7</f>
        <v>71</v>
      </c>
      <c r="B436" s="24" t="str">
        <f ca="1">"#define SRD1_REG"&amp;A388&amp;"   "&amp;N(INDIRECT("CONFIG!A"&amp;A436))*2</f>
        <v>#define SRD1_REG3   0</v>
      </c>
    </row>
    <row r="437" spans="1:2" x14ac:dyDescent="0.25">
      <c r="B437" s="24" t="s">
        <v>49</v>
      </c>
    </row>
    <row r="438" spans="1:2" x14ac:dyDescent="0.25">
      <c r="A438">
        <f>A389+8</f>
        <v>72</v>
      </c>
      <c r="B438" s="24" t="str">
        <f ca="1">"#define SRD2_REG"&amp;A388&amp;"   "&amp;N(INDIRECT("CONFIG!A"&amp;A438))*4</f>
        <v>#define SRD2_REG3   0</v>
      </c>
    </row>
    <row r="439" spans="1:2" x14ac:dyDescent="0.25">
      <c r="B439" s="24" t="s">
        <v>50</v>
      </c>
    </row>
    <row r="440" spans="1:2" x14ac:dyDescent="0.25">
      <c r="A440">
        <f>A389+9</f>
        <v>73</v>
      </c>
      <c r="B440" s="24" t="str">
        <f ca="1">"#define SRD3_REG"&amp;A388&amp;"   "&amp;N(INDIRECT("CONFIG!A"&amp;A440))*8</f>
        <v>#define SRD3_REG3   0</v>
      </c>
    </row>
    <row r="441" spans="1:2" x14ac:dyDescent="0.25">
      <c r="B441" s="24" t="s">
        <v>51</v>
      </c>
    </row>
    <row r="442" spans="1:2" x14ac:dyDescent="0.25">
      <c r="A442">
        <f>A389+10</f>
        <v>74</v>
      </c>
      <c r="B442" s="24" t="str">
        <f ca="1">"#define SRD4_REG"&amp;A388&amp;"   "&amp;N(INDIRECT("CONFIG!A"&amp;A442))*16</f>
        <v>#define SRD4_REG3   0</v>
      </c>
    </row>
    <row r="443" spans="1:2" x14ac:dyDescent="0.25">
      <c r="B443" s="24" t="s">
        <v>52</v>
      </c>
    </row>
    <row r="444" spans="1:2" x14ac:dyDescent="0.25">
      <c r="A444">
        <f>A389+11</f>
        <v>75</v>
      </c>
      <c r="B444" s="24" t="str">
        <f ca="1">"#define SRD5_REG"&amp;A388&amp;"   "&amp;N(INDIRECT("CONFIG!A"&amp;A444))*32</f>
        <v>#define SRD5_REG3   0</v>
      </c>
    </row>
    <row r="445" spans="1:2" x14ac:dyDescent="0.25">
      <c r="B445" s="24" t="s">
        <v>53</v>
      </c>
    </row>
    <row r="446" spans="1:2" x14ac:dyDescent="0.25">
      <c r="A446">
        <f>A389+12</f>
        <v>76</v>
      </c>
      <c r="B446" s="24" t="str">
        <f ca="1">"#define SRD6_REG"&amp;A388&amp;"   "&amp;N(INDIRECT("CONFIG!A"&amp;A446))*64</f>
        <v>#define SRD6_REG3   0</v>
      </c>
    </row>
    <row r="447" spans="1:2" x14ac:dyDescent="0.25">
      <c r="B447" s="24" t="s">
        <v>54</v>
      </c>
    </row>
    <row r="448" spans="1:2" x14ac:dyDescent="0.25">
      <c r="A448">
        <f>A389+13</f>
        <v>77</v>
      </c>
      <c r="B448" s="24" t="str">
        <f ca="1">"#define SRD7_REG"&amp;A388&amp;"   "&amp;N(INDIRECT("CONFIG!A"&amp;A448))*128</f>
        <v>#define SRD7_REG3   0</v>
      </c>
    </row>
    <row r="449" spans="1:2" x14ac:dyDescent="0.25">
      <c r="B449" s="24" t="str">
        <f>"#define SRD_REG"&amp;A388&amp;" ((SRD_USE_REG"&amp;A388&amp;" == 0)?0: (SRD0_REG"&amp;A388&amp;" | SRD1_REG"&amp;A388&amp;" | SRD2_REG"&amp;A388&amp;" | SRD3_REG"&amp;A388&amp;" |\"</f>
        <v>#define SRD_REG3 ((SRD_USE_REG3 == 0)?0: (SRD0_REG3 | SRD1_REG3 | SRD2_REG3 | SRD3_REG3 |\</v>
      </c>
    </row>
    <row r="450" spans="1:2" x14ac:dyDescent="0.25">
      <c r="B450" s="24" t="str">
        <f>"                      SRD4_REG"&amp;A388&amp;" | SRD5_REG"&amp;A388&amp;" | SRD6_REG"&amp;A388&amp;" | SRD7_REG"&amp;A388&amp;" ))"</f>
        <v xml:space="preserve">                      SRD4_REG3 | SRD5_REG3 | SRD6_REG3 | SRD7_REG3 ))</v>
      </c>
    </row>
    <row r="451" spans="1:2" x14ac:dyDescent="0.25">
      <c r="B451" s="24" t="s">
        <v>55</v>
      </c>
    </row>
    <row r="452" spans="1:2" x14ac:dyDescent="0.25">
      <c r="B452" s="24" t="s">
        <v>56</v>
      </c>
    </row>
    <row r="453" spans="1:2" x14ac:dyDescent="0.25">
      <c r="B453" s="24" t="s">
        <v>57</v>
      </c>
    </row>
    <row r="454" spans="1:2" x14ac:dyDescent="0.25">
      <c r="B454" s="24" t="s">
        <v>58</v>
      </c>
    </row>
    <row r="455" spans="1:2" x14ac:dyDescent="0.25">
      <c r="B455" s="24" t="s">
        <v>59</v>
      </c>
    </row>
    <row r="456" spans="1:2" x14ac:dyDescent="0.25">
      <c r="B456" s="24" t="s">
        <v>60</v>
      </c>
    </row>
    <row r="457" spans="1:2" x14ac:dyDescent="0.25">
      <c r="B457" s="24" t="s">
        <v>61</v>
      </c>
    </row>
    <row r="458" spans="1:2" x14ac:dyDescent="0.25">
      <c r="B458" s="24" t="s">
        <v>62</v>
      </c>
    </row>
    <row r="459" spans="1:2" x14ac:dyDescent="0.25">
      <c r="A459">
        <f>A389+14</f>
        <v>78</v>
      </c>
      <c r="B459" s="24" t="str" cm="1">
        <f t="array" aca="1" ref="B459" ca="1">"#define PERM_REG"&amp;A388&amp;"   "&amp;INDIRECT("CONFIG!A"&amp;A459)-IF(INDIRECT("CONFIG!A"&amp;A459)&lt;6,1,0)</f>
        <v>#define PERM_REG3   0</v>
      </c>
    </row>
    <row r="460" spans="1:2" x14ac:dyDescent="0.25">
      <c r="B460" s="24" t="s">
        <v>63</v>
      </c>
    </row>
    <row r="461" spans="1:2" x14ac:dyDescent="0.25">
      <c r="A461">
        <f>A389+15</f>
        <v>79</v>
      </c>
      <c r="B461" s="24" t="str">
        <f ca="1">"#define XN_REG"&amp;A388&amp;"   "&amp;N(INDIRECT("CONFIG!A"&amp;A461))</f>
        <v>#define XN_REG3   0</v>
      </c>
    </row>
    <row r="462" spans="1:2" x14ac:dyDescent="0.25">
      <c r="B462" s="24" t="s">
        <v>259</v>
      </c>
    </row>
    <row r="463" spans="1:2" x14ac:dyDescent="0.25">
      <c r="B463" s="24" t="s">
        <v>64</v>
      </c>
    </row>
    <row r="464" spans="1:2" x14ac:dyDescent="0.25">
      <c r="A464">
        <f>A389+16</f>
        <v>80</v>
      </c>
      <c r="B464" s="24" t="str">
        <f ca="1">"#define SHARE_REG"&amp;A388&amp;"   "&amp;"("&amp;N(INDIRECT("CONFIG!A"&amp;A464))&amp;"&lt;&lt;MPU_RASR_S_Pos)"</f>
        <v>#define SHARE_REG3   (1&lt;&lt;MPU_RASR_S_Pos)</v>
      </c>
    </row>
    <row r="465" spans="2:2" x14ac:dyDescent="0.25">
      <c r="B465" s="24" t="s">
        <v>65</v>
      </c>
    </row>
    <row r="466" spans="2:2" x14ac:dyDescent="0.25">
      <c r="B466" s="24" t="s">
        <v>66</v>
      </c>
    </row>
    <row r="467" spans="2:2" x14ac:dyDescent="0.25">
      <c r="B467" s="24" t="s">
        <v>67</v>
      </c>
    </row>
    <row r="468" spans="2:2" x14ac:dyDescent="0.25">
      <c r="B468" s="24" t="s">
        <v>68</v>
      </c>
    </row>
    <row r="469" spans="2:2" x14ac:dyDescent="0.25">
      <c r="B469" s="24" t="s">
        <v>69</v>
      </c>
    </row>
    <row r="470" spans="2:2" x14ac:dyDescent="0.25">
      <c r="B470" s="24" t="s">
        <v>70</v>
      </c>
    </row>
    <row r="471" spans="2:2" x14ac:dyDescent="0.25">
      <c r="B471" s="24" t="s">
        <v>71</v>
      </c>
    </row>
    <row r="472" spans="2:2" x14ac:dyDescent="0.25">
      <c r="B472" s="24" t="s">
        <v>72</v>
      </c>
    </row>
    <row r="473" spans="2:2" x14ac:dyDescent="0.25">
      <c r="B473" s="24" t="s">
        <v>73</v>
      </c>
    </row>
    <row r="474" spans="2:2" x14ac:dyDescent="0.25">
      <c r="B474" s="24" t="s">
        <v>74</v>
      </c>
    </row>
    <row r="475" spans="2:2" x14ac:dyDescent="0.25">
      <c r="B475" s="24" t="s">
        <v>75</v>
      </c>
    </row>
    <row r="476" spans="2:2" x14ac:dyDescent="0.25">
      <c r="B476" s="24" t="s">
        <v>76</v>
      </c>
    </row>
    <row r="477" spans="2:2" x14ac:dyDescent="0.25">
      <c r="B477" s="24" t="s">
        <v>77</v>
      </c>
    </row>
    <row r="478" spans="2:2" x14ac:dyDescent="0.25">
      <c r="B478" s="24" t="s">
        <v>78</v>
      </c>
    </row>
    <row r="479" spans="2:2" x14ac:dyDescent="0.25">
      <c r="B479" s="24" t="s">
        <v>79</v>
      </c>
    </row>
    <row r="480" spans="2:2" x14ac:dyDescent="0.25">
      <c r="B480" s="24" t="s">
        <v>80</v>
      </c>
    </row>
    <row r="481" spans="1:2" x14ac:dyDescent="0.25">
      <c r="B481" s="24" t="s">
        <v>81</v>
      </c>
    </row>
    <row r="482" spans="1:2" x14ac:dyDescent="0.25">
      <c r="B482" s="24" t="s">
        <v>82</v>
      </c>
    </row>
    <row r="483" spans="1:2" x14ac:dyDescent="0.25">
      <c r="B483" s="24" t="s">
        <v>83</v>
      </c>
    </row>
    <row r="484" spans="1:2" x14ac:dyDescent="0.25">
      <c r="B484" s="24" t="s">
        <v>84</v>
      </c>
    </row>
    <row r="485" spans="1:2" x14ac:dyDescent="0.25">
      <c r="B485" s="24" t="s">
        <v>85</v>
      </c>
    </row>
    <row r="486" spans="1:2" x14ac:dyDescent="0.25">
      <c r="B486" s="24" t="s">
        <v>86</v>
      </c>
    </row>
    <row r="487" spans="1:2" x14ac:dyDescent="0.25">
      <c r="B487" s="24" t="s">
        <v>87</v>
      </c>
    </row>
    <row r="488" spans="1:2" x14ac:dyDescent="0.25">
      <c r="B488" s="24" t="s">
        <v>88</v>
      </c>
    </row>
    <row r="489" spans="1:2" x14ac:dyDescent="0.25">
      <c r="B489" s="24" t="s">
        <v>89</v>
      </c>
    </row>
    <row r="490" spans="1:2" x14ac:dyDescent="0.25">
      <c r="B490" s="24" t="s">
        <v>90</v>
      </c>
    </row>
    <row r="491" spans="1:2" x14ac:dyDescent="0.25">
      <c r="B491" s="24" t="s">
        <v>91</v>
      </c>
    </row>
    <row r="492" spans="1:2" x14ac:dyDescent="0.25">
      <c r="B492" s="24" t="s">
        <v>92</v>
      </c>
    </row>
    <row r="493" spans="1:2" x14ac:dyDescent="0.25">
      <c r="B493" s="24" t="s">
        <v>93</v>
      </c>
    </row>
    <row r="494" spans="1:2" x14ac:dyDescent="0.25">
      <c r="B494" s="24" t="s">
        <v>94</v>
      </c>
    </row>
    <row r="495" spans="1:2" x14ac:dyDescent="0.25">
      <c r="B495" s="24" t="s">
        <v>95</v>
      </c>
    </row>
    <row r="496" spans="1:2" x14ac:dyDescent="0.25">
      <c r="A496">
        <f>A389+17</f>
        <v>81</v>
      </c>
      <c r="B496" s="24" t="str" cm="1">
        <f t="array" aca="1" ref="B496" ca="1">"#define ACCESS_REG"&amp;A388&amp;"   "&amp;MID(INDIRECT("B"&amp;INDIRECT("CONFIG!A"&amp;A496)+129),13,8)</f>
        <v>#define ACCESS_REG3   0x020000</v>
      </c>
    </row>
    <row r="497" spans="1:2" x14ac:dyDescent="0.25">
      <c r="B497" s="24" t="str">
        <f>"#define TEXSCB_REG"&amp;A388&amp;" (ACCESS_REG"&amp;A388&amp;" | SHARE_REG"&amp;A388&amp;")"</f>
        <v>#define TEXSCB_REG3 (ACCESS_REG3 | SHARE_REG3)</v>
      </c>
    </row>
    <row r="498" spans="1:2" x14ac:dyDescent="0.25">
      <c r="B498" s="24" t="str">
        <f>"//   &lt;/e&gt;   //MPU Region "&amp;A388&amp;" ********************************"</f>
        <v>//   &lt;/e&gt;   //MPU Region 3 ********************************</v>
      </c>
    </row>
    <row r="499" spans="1:2" x14ac:dyDescent="0.25">
      <c r="B499" s="24"/>
    </row>
    <row r="500" spans="1:2" x14ac:dyDescent="0.25">
      <c r="A500" s="2">
        <f>A388+1</f>
        <v>4</v>
      </c>
      <c r="B500" s="24" t="str">
        <f>"// MPU Region "&amp;A500&amp;" ********************************"</f>
        <v>// MPU Region 4 ********************************</v>
      </c>
    </row>
    <row r="501" spans="1:2" x14ac:dyDescent="0.25">
      <c r="A501" s="2">
        <f>A389+19</f>
        <v>83</v>
      </c>
      <c r="B501" s="24" t="str">
        <f>"// &lt;e&gt;Configure MPU Region "&amp;A500</f>
        <v>// &lt;e&gt;Configure MPU Region 4</v>
      </c>
    </row>
    <row r="502" spans="1:2" x14ac:dyDescent="0.25">
      <c r="B502" s="24" t="s">
        <v>186</v>
      </c>
    </row>
    <row r="503" spans="1:2" x14ac:dyDescent="0.25">
      <c r="A503">
        <f>A501</f>
        <v>83</v>
      </c>
      <c r="B503" s="24" t="str">
        <f ca="1">"#define CONFIG_REG"&amp;A500&amp;"   "&amp;N(INDIRECT("CONFIG!A"&amp;A503))</f>
        <v>#define CONFIG_REG4   0</v>
      </c>
    </row>
    <row r="504" spans="1:2" x14ac:dyDescent="0.25">
      <c r="B504" s="24" t="s">
        <v>10</v>
      </c>
    </row>
    <row r="505" spans="1:2" x14ac:dyDescent="0.25">
      <c r="A505">
        <f>A501+1</f>
        <v>84</v>
      </c>
      <c r="B505" s="24" t="str">
        <f ca="1">"#define ENABLE_REG"&amp;A500&amp;"   "&amp;N(INDIRECT("CONFIG!A"&amp;A505))</f>
        <v>#define ENABLE_REG4   1</v>
      </c>
    </row>
    <row r="506" spans="1:2" x14ac:dyDescent="0.25">
      <c r="B506" s="24" t="s">
        <v>11</v>
      </c>
    </row>
    <row r="507" spans="1:2" x14ac:dyDescent="0.25">
      <c r="B507" s="24" t="s">
        <v>12</v>
      </c>
    </row>
    <row r="508" spans="1:2" x14ac:dyDescent="0.25">
      <c r="A508">
        <f>A501+2</f>
        <v>85</v>
      </c>
      <c r="B508" s="24" t="str" cm="1">
        <f t="array" aca="1" ref="B508" ca="1">"#define BASE_REG"&amp;A500&amp;"   "&amp;INDIRECT("CONFIG!A"&amp;A508)</f>
        <v>#define BASE_REG4   00000000</v>
      </c>
    </row>
    <row r="509" spans="1:2" x14ac:dyDescent="0.25">
      <c r="B509" s="24" t="s">
        <v>13</v>
      </c>
    </row>
    <row r="510" spans="1:2" x14ac:dyDescent="0.25">
      <c r="B510" s="24" t="s">
        <v>14</v>
      </c>
    </row>
    <row r="511" spans="1:2" x14ac:dyDescent="0.25">
      <c r="B511" s="24" t="s">
        <v>15</v>
      </c>
    </row>
    <row r="512" spans="1:2" x14ac:dyDescent="0.25">
      <c r="B512" s="24" t="s">
        <v>16</v>
      </c>
    </row>
    <row r="513" spans="2:2" x14ac:dyDescent="0.25">
      <c r="B513" s="24" t="s">
        <v>17</v>
      </c>
    </row>
    <row r="514" spans="2:2" x14ac:dyDescent="0.25">
      <c r="B514" s="24" t="s">
        <v>18</v>
      </c>
    </row>
    <row r="515" spans="2:2" x14ac:dyDescent="0.25">
      <c r="B515" s="24" t="s">
        <v>19</v>
      </c>
    </row>
    <row r="516" spans="2:2" x14ac:dyDescent="0.25">
      <c r="B516" s="24" t="s">
        <v>20</v>
      </c>
    </row>
    <row r="517" spans="2:2" x14ac:dyDescent="0.25">
      <c r="B517" s="24" t="s">
        <v>21</v>
      </c>
    </row>
    <row r="518" spans="2:2" x14ac:dyDescent="0.25">
      <c r="B518" s="24" t="s">
        <v>22</v>
      </c>
    </row>
    <row r="519" spans="2:2" x14ac:dyDescent="0.25">
      <c r="B519" s="24" t="s">
        <v>23</v>
      </c>
    </row>
    <row r="520" spans="2:2" x14ac:dyDescent="0.25">
      <c r="B520" s="24" t="s">
        <v>24</v>
      </c>
    </row>
    <row r="521" spans="2:2" x14ac:dyDescent="0.25">
      <c r="B521" s="24" t="s">
        <v>25</v>
      </c>
    </row>
    <row r="522" spans="2:2" x14ac:dyDescent="0.25">
      <c r="B522" s="24" t="s">
        <v>26</v>
      </c>
    </row>
    <row r="523" spans="2:2" x14ac:dyDescent="0.25">
      <c r="B523" s="24" t="s">
        <v>27</v>
      </c>
    </row>
    <row r="524" spans="2:2" x14ac:dyDescent="0.25">
      <c r="B524" s="24" t="s">
        <v>28</v>
      </c>
    </row>
    <row r="525" spans="2:2" x14ac:dyDescent="0.25">
      <c r="B525" s="24" t="s">
        <v>29</v>
      </c>
    </row>
    <row r="526" spans="2:2" x14ac:dyDescent="0.25">
      <c r="B526" s="24" t="s">
        <v>30</v>
      </c>
    </row>
    <row r="527" spans="2:2" x14ac:dyDescent="0.25">
      <c r="B527" s="24" t="s">
        <v>31</v>
      </c>
    </row>
    <row r="528" spans="2:2" x14ac:dyDescent="0.25">
      <c r="B528" s="24" t="s">
        <v>32</v>
      </c>
    </row>
    <row r="529" spans="1:2" x14ac:dyDescent="0.25">
      <c r="B529" s="24" t="s">
        <v>33</v>
      </c>
    </row>
    <row r="530" spans="1:2" x14ac:dyDescent="0.25">
      <c r="B530" s="24" t="s">
        <v>34</v>
      </c>
    </row>
    <row r="531" spans="1:2" x14ac:dyDescent="0.25">
      <c r="B531" s="24" t="s">
        <v>35</v>
      </c>
    </row>
    <row r="532" spans="1:2" x14ac:dyDescent="0.25">
      <c r="B532" s="24" t="s">
        <v>36</v>
      </c>
    </row>
    <row r="533" spans="1:2" x14ac:dyDescent="0.25">
      <c r="B533" s="24" t="s">
        <v>37</v>
      </c>
    </row>
    <row r="534" spans="1:2" x14ac:dyDescent="0.25">
      <c r="B534" s="24" t="s">
        <v>38</v>
      </c>
    </row>
    <row r="535" spans="1:2" x14ac:dyDescent="0.25">
      <c r="B535" s="24" t="s">
        <v>39</v>
      </c>
    </row>
    <row r="536" spans="1:2" x14ac:dyDescent="0.25">
      <c r="B536" s="24" t="s">
        <v>40</v>
      </c>
    </row>
    <row r="537" spans="1:2" x14ac:dyDescent="0.25">
      <c r="B537" s="24" t="s">
        <v>41</v>
      </c>
    </row>
    <row r="538" spans="1:2" x14ac:dyDescent="0.25">
      <c r="A538">
        <f>A501+3</f>
        <v>86</v>
      </c>
      <c r="B538" s="24" t="str" cm="1">
        <f t="array" aca="1" ref="B538" ca="1">"#define SIZE_REG"&amp;A500&amp;"   "&amp;INDIRECT("CONFIG!A"&amp;A538)+3</f>
        <v>#define SIZE_REG4   4</v>
      </c>
    </row>
    <row r="539" spans="1:2" x14ac:dyDescent="0.25">
      <c r="B539" s="24" t="s">
        <v>42</v>
      </c>
    </row>
    <row r="540" spans="1:2" x14ac:dyDescent="0.25">
      <c r="B540" s="24" t="s">
        <v>43</v>
      </c>
    </row>
    <row r="541" spans="1:2" x14ac:dyDescent="0.25">
      <c r="B541" s="24" t="s">
        <v>44</v>
      </c>
    </row>
    <row r="542" spans="1:2" x14ac:dyDescent="0.25">
      <c r="B542" s="24" t="s">
        <v>45</v>
      </c>
    </row>
    <row r="543" spans="1:2" x14ac:dyDescent="0.25">
      <c r="B543" s="24" t="s">
        <v>46</v>
      </c>
    </row>
    <row r="544" spans="1:2" x14ac:dyDescent="0.25">
      <c r="A544">
        <f>A501+6</f>
        <v>89</v>
      </c>
      <c r="B544" s="24" t="str">
        <f ca="1">"#define SRD_USE_REG"&amp;A500&amp;"  "&amp;N(OR(INDIRECT("CONFIG!A"&amp;A544&amp;":A"&amp;A544+7&amp;"")))</f>
        <v>#define SRD_USE_REG4  0</v>
      </c>
    </row>
    <row r="545" spans="1:2" x14ac:dyDescent="0.25">
      <c r="B545" s="24" t="s">
        <v>47</v>
      </c>
    </row>
    <row r="546" spans="1:2" x14ac:dyDescent="0.25">
      <c r="A546">
        <f>A501+6</f>
        <v>89</v>
      </c>
      <c r="B546" s="24" t="str">
        <f ca="1">"#define SRD0_REG"&amp;A500&amp;"   "&amp;N(INDIRECT("CONFIG!A"&amp;A546))</f>
        <v>#define SRD0_REG4   0</v>
      </c>
    </row>
    <row r="547" spans="1:2" x14ac:dyDescent="0.25">
      <c r="B547" s="24" t="s">
        <v>48</v>
      </c>
    </row>
    <row r="548" spans="1:2" x14ac:dyDescent="0.25">
      <c r="A548">
        <f>A501+7</f>
        <v>90</v>
      </c>
      <c r="B548" s="24" t="str">
        <f ca="1">"#define SRD1_REG"&amp;A500&amp;"   "&amp;N(INDIRECT("CONFIG!A"&amp;A548))*2</f>
        <v>#define SRD1_REG4   0</v>
      </c>
    </row>
    <row r="549" spans="1:2" x14ac:dyDescent="0.25">
      <c r="B549" s="24" t="s">
        <v>49</v>
      </c>
    </row>
    <row r="550" spans="1:2" x14ac:dyDescent="0.25">
      <c r="A550">
        <f>A501+8</f>
        <v>91</v>
      </c>
      <c r="B550" s="24" t="str">
        <f ca="1">"#define SRD2_REG"&amp;A500&amp;"   "&amp;N(INDIRECT("CONFIG!A"&amp;A550))*4</f>
        <v>#define SRD2_REG4   0</v>
      </c>
    </row>
    <row r="551" spans="1:2" x14ac:dyDescent="0.25">
      <c r="B551" s="24" t="s">
        <v>50</v>
      </c>
    </row>
    <row r="552" spans="1:2" x14ac:dyDescent="0.25">
      <c r="A552">
        <f>A501+9</f>
        <v>92</v>
      </c>
      <c r="B552" s="24" t="str">
        <f ca="1">"#define SRD3_REG"&amp;A500&amp;"   "&amp;N(INDIRECT("CONFIG!A"&amp;A552))*8</f>
        <v>#define SRD3_REG4   0</v>
      </c>
    </row>
    <row r="553" spans="1:2" x14ac:dyDescent="0.25">
      <c r="B553" s="24" t="s">
        <v>51</v>
      </c>
    </row>
    <row r="554" spans="1:2" x14ac:dyDescent="0.25">
      <c r="A554">
        <f>A501+10</f>
        <v>93</v>
      </c>
      <c r="B554" s="24" t="str">
        <f ca="1">"#define SRD4_REG"&amp;A500&amp;"   "&amp;N(INDIRECT("CONFIG!A"&amp;A554))*16</f>
        <v>#define SRD4_REG4   0</v>
      </c>
    </row>
    <row r="555" spans="1:2" x14ac:dyDescent="0.25">
      <c r="B555" s="24" t="s">
        <v>52</v>
      </c>
    </row>
    <row r="556" spans="1:2" x14ac:dyDescent="0.25">
      <c r="A556">
        <f>A501+11</f>
        <v>94</v>
      </c>
      <c r="B556" s="24" t="str">
        <f ca="1">"#define SRD5_REG"&amp;A500&amp;"   "&amp;N(INDIRECT("CONFIG!A"&amp;A556))*32</f>
        <v>#define SRD5_REG4   0</v>
      </c>
    </row>
    <row r="557" spans="1:2" x14ac:dyDescent="0.25">
      <c r="B557" s="24" t="s">
        <v>53</v>
      </c>
    </row>
    <row r="558" spans="1:2" x14ac:dyDescent="0.25">
      <c r="A558">
        <f>A501+12</f>
        <v>95</v>
      </c>
      <c r="B558" s="24" t="str">
        <f ca="1">"#define SRD6_REG"&amp;A500&amp;"   "&amp;N(INDIRECT("CONFIG!A"&amp;A558))*64</f>
        <v>#define SRD6_REG4   0</v>
      </c>
    </row>
    <row r="559" spans="1:2" x14ac:dyDescent="0.25">
      <c r="B559" s="24" t="s">
        <v>54</v>
      </c>
    </row>
    <row r="560" spans="1:2" x14ac:dyDescent="0.25">
      <c r="A560">
        <f>A501+13</f>
        <v>96</v>
      </c>
      <c r="B560" s="24" t="str">
        <f ca="1">"#define SRD7_REG"&amp;A500&amp;"   "&amp;N(INDIRECT("CONFIG!A"&amp;A560))*128</f>
        <v>#define SRD7_REG4   0</v>
      </c>
    </row>
    <row r="561" spans="1:2" x14ac:dyDescent="0.25">
      <c r="B561" s="24" t="str">
        <f>"#define SRD_REG"&amp;A500&amp;" ((SRD_USE_REG"&amp;A500&amp;" == 0)?0: (SRD0_REG"&amp;A500&amp;" | SRD1_REG"&amp;A500&amp;" | SRD2_REG"&amp;A500&amp;" | SRD3_REG"&amp;A500&amp;" |\"</f>
        <v>#define SRD_REG4 ((SRD_USE_REG4 == 0)?0: (SRD0_REG4 | SRD1_REG4 | SRD2_REG4 | SRD3_REG4 |\</v>
      </c>
    </row>
    <row r="562" spans="1:2" x14ac:dyDescent="0.25">
      <c r="B562" s="24" t="str">
        <f>"                      SRD4_REG"&amp;A500&amp;" | SRD5_REG"&amp;A500&amp;" | SRD6_REG"&amp;A500&amp;" | SRD7_REG"&amp;A500&amp;" ))"</f>
        <v xml:space="preserve">                      SRD4_REG4 | SRD5_REG4 | SRD6_REG4 | SRD7_REG4 ))</v>
      </c>
    </row>
    <row r="563" spans="1:2" x14ac:dyDescent="0.25">
      <c r="B563" s="24" t="s">
        <v>55</v>
      </c>
    </row>
    <row r="564" spans="1:2" x14ac:dyDescent="0.25">
      <c r="B564" s="24" t="s">
        <v>56</v>
      </c>
    </row>
    <row r="565" spans="1:2" x14ac:dyDescent="0.25">
      <c r="B565" s="24" t="s">
        <v>57</v>
      </c>
    </row>
    <row r="566" spans="1:2" x14ac:dyDescent="0.25">
      <c r="B566" s="24" t="s">
        <v>58</v>
      </c>
    </row>
    <row r="567" spans="1:2" x14ac:dyDescent="0.25">
      <c r="B567" s="24" t="s">
        <v>59</v>
      </c>
    </row>
    <row r="568" spans="1:2" x14ac:dyDescent="0.25">
      <c r="B568" s="24" t="s">
        <v>60</v>
      </c>
    </row>
    <row r="569" spans="1:2" x14ac:dyDescent="0.25">
      <c r="B569" s="24" t="s">
        <v>61</v>
      </c>
    </row>
    <row r="570" spans="1:2" x14ac:dyDescent="0.25">
      <c r="B570" s="24" t="s">
        <v>62</v>
      </c>
    </row>
    <row r="571" spans="1:2" x14ac:dyDescent="0.25">
      <c r="A571">
        <f>A501+14</f>
        <v>97</v>
      </c>
      <c r="B571" s="24" t="str" cm="1">
        <f t="array" aca="1" ref="B571" ca="1">"#define PERM_REG"&amp;A500&amp;"   "&amp;INDIRECT("CONFIG!A"&amp;A571)-IF(INDIRECT("CONFIG!A"&amp;A571)&lt;6,1,0)</f>
        <v>#define PERM_REG4   0</v>
      </c>
    </row>
    <row r="572" spans="1:2" x14ac:dyDescent="0.25">
      <c r="B572" s="24" t="s">
        <v>63</v>
      </c>
    </row>
    <row r="573" spans="1:2" x14ac:dyDescent="0.25">
      <c r="A573">
        <f>A501+15</f>
        <v>98</v>
      </c>
      <c r="B573" s="24" t="str">
        <f ca="1">"#define XN_REG"&amp;A500&amp;"   "&amp;N(INDIRECT("CONFIG!A"&amp;A573))</f>
        <v>#define XN_REG4   0</v>
      </c>
    </row>
    <row r="574" spans="1:2" x14ac:dyDescent="0.25">
      <c r="B574" s="24" t="s">
        <v>259</v>
      </c>
    </row>
    <row r="575" spans="1:2" x14ac:dyDescent="0.25">
      <c r="B575" s="24" t="s">
        <v>64</v>
      </c>
    </row>
    <row r="576" spans="1:2" x14ac:dyDescent="0.25">
      <c r="A576">
        <f>A501+16</f>
        <v>99</v>
      </c>
      <c r="B576" s="24" t="str">
        <f ca="1">"#define SHARE_REG"&amp;A500&amp;"   "&amp;"("&amp;N(INDIRECT("CONFIG!A"&amp;A576))&amp;"&lt;&lt;MPU_RASR_S_Pos)"</f>
        <v>#define SHARE_REG4   (1&lt;&lt;MPU_RASR_S_Pos)</v>
      </c>
    </row>
    <row r="577" spans="2:2" x14ac:dyDescent="0.25">
      <c r="B577" s="24" t="s">
        <v>65</v>
      </c>
    </row>
    <row r="578" spans="2:2" x14ac:dyDescent="0.25">
      <c r="B578" s="24" t="s">
        <v>66</v>
      </c>
    </row>
    <row r="579" spans="2:2" x14ac:dyDescent="0.25">
      <c r="B579" s="24" t="s">
        <v>67</v>
      </c>
    </row>
    <row r="580" spans="2:2" x14ac:dyDescent="0.25">
      <c r="B580" s="24" t="s">
        <v>68</v>
      </c>
    </row>
    <row r="581" spans="2:2" x14ac:dyDescent="0.25">
      <c r="B581" s="24" t="s">
        <v>69</v>
      </c>
    </row>
    <row r="582" spans="2:2" x14ac:dyDescent="0.25">
      <c r="B582" s="24" t="s">
        <v>70</v>
      </c>
    </row>
    <row r="583" spans="2:2" x14ac:dyDescent="0.25">
      <c r="B583" s="24" t="s">
        <v>71</v>
      </c>
    </row>
    <row r="584" spans="2:2" x14ac:dyDescent="0.25">
      <c r="B584" s="24" t="s">
        <v>72</v>
      </c>
    </row>
    <row r="585" spans="2:2" x14ac:dyDescent="0.25">
      <c r="B585" s="24" t="s">
        <v>73</v>
      </c>
    </row>
    <row r="586" spans="2:2" x14ac:dyDescent="0.25">
      <c r="B586" s="24" t="s">
        <v>74</v>
      </c>
    </row>
    <row r="587" spans="2:2" x14ac:dyDescent="0.25">
      <c r="B587" s="24" t="s">
        <v>75</v>
      </c>
    </row>
    <row r="588" spans="2:2" x14ac:dyDescent="0.25">
      <c r="B588" s="24" t="s">
        <v>76</v>
      </c>
    </row>
    <row r="589" spans="2:2" x14ac:dyDescent="0.25">
      <c r="B589" s="24" t="s">
        <v>77</v>
      </c>
    </row>
    <row r="590" spans="2:2" x14ac:dyDescent="0.25">
      <c r="B590" s="24" t="s">
        <v>78</v>
      </c>
    </row>
    <row r="591" spans="2:2" x14ac:dyDescent="0.25">
      <c r="B591" s="24" t="s">
        <v>79</v>
      </c>
    </row>
    <row r="592" spans="2:2" x14ac:dyDescent="0.25">
      <c r="B592" s="24" t="s">
        <v>80</v>
      </c>
    </row>
    <row r="593" spans="1:2" x14ac:dyDescent="0.25">
      <c r="B593" s="24" t="s">
        <v>81</v>
      </c>
    </row>
    <row r="594" spans="1:2" x14ac:dyDescent="0.25">
      <c r="B594" s="24" t="s">
        <v>82</v>
      </c>
    </row>
    <row r="595" spans="1:2" x14ac:dyDescent="0.25">
      <c r="B595" s="24" t="s">
        <v>83</v>
      </c>
    </row>
    <row r="596" spans="1:2" x14ac:dyDescent="0.25">
      <c r="B596" s="24" t="s">
        <v>84</v>
      </c>
    </row>
    <row r="597" spans="1:2" x14ac:dyDescent="0.25">
      <c r="B597" s="24" t="s">
        <v>85</v>
      </c>
    </row>
    <row r="598" spans="1:2" x14ac:dyDescent="0.25">
      <c r="B598" s="24" t="s">
        <v>86</v>
      </c>
    </row>
    <row r="599" spans="1:2" x14ac:dyDescent="0.25">
      <c r="B599" s="24" t="s">
        <v>87</v>
      </c>
    </row>
    <row r="600" spans="1:2" x14ac:dyDescent="0.25">
      <c r="B600" s="24" t="s">
        <v>88</v>
      </c>
    </row>
    <row r="601" spans="1:2" x14ac:dyDescent="0.25">
      <c r="B601" s="24" t="s">
        <v>89</v>
      </c>
    </row>
    <row r="602" spans="1:2" x14ac:dyDescent="0.25">
      <c r="B602" s="24" t="s">
        <v>90</v>
      </c>
    </row>
    <row r="603" spans="1:2" x14ac:dyDescent="0.25">
      <c r="B603" s="24" t="s">
        <v>91</v>
      </c>
    </row>
    <row r="604" spans="1:2" x14ac:dyDescent="0.25">
      <c r="B604" s="24" t="s">
        <v>92</v>
      </c>
    </row>
    <row r="605" spans="1:2" x14ac:dyDescent="0.25">
      <c r="B605" s="24" t="s">
        <v>93</v>
      </c>
    </row>
    <row r="606" spans="1:2" x14ac:dyDescent="0.25">
      <c r="B606" s="24" t="s">
        <v>94</v>
      </c>
    </row>
    <row r="607" spans="1:2" x14ac:dyDescent="0.25">
      <c r="B607" s="24" t="s">
        <v>95</v>
      </c>
    </row>
    <row r="608" spans="1:2" x14ac:dyDescent="0.25">
      <c r="A608">
        <f>A501+17</f>
        <v>100</v>
      </c>
      <c r="B608" s="24" t="str" cm="1">
        <f t="array" aca="1" ref="B608" ca="1">"#define ACCESS_REG"&amp;A500&amp;"   "&amp;MID(INDIRECT("B"&amp;INDIRECT("CONFIG!A"&amp;A608)+129),13,8)</f>
        <v>#define ACCESS_REG4   0x020000</v>
      </c>
    </row>
    <row r="609" spans="1:2" x14ac:dyDescent="0.25">
      <c r="B609" s="24" t="str">
        <f>"#define TEXSCB_REG"&amp;A500&amp;" (ACCESS_REG"&amp;A500&amp;" | SHARE_REG"&amp;A500&amp;")"</f>
        <v>#define TEXSCB_REG4 (ACCESS_REG4 | SHARE_REG4)</v>
      </c>
    </row>
    <row r="610" spans="1:2" x14ac:dyDescent="0.25">
      <c r="B610" s="24" t="str">
        <f>"//   &lt;/e&gt;   //MPU Region "&amp;A500&amp;" ********************************"</f>
        <v>//   &lt;/e&gt;   //MPU Region 4 ********************************</v>
      </c>
    </row>
    <row r="611" spans="1:2" x14ac:dyDescent="0.25">
      <c r="B611" s="24"/>
    </row>
    <row r="612" spans="1:2" x14ac:dyDescent="0.25">
      <c r="A612" s="2">
        <f>A500+1</f>
        <v>5</v>
      </c>
      <c r="B612" s="24" t="str">
        <f>"// MPU Region "&amp;A612&amp;" ********************************"</f>
        <v>// MPU Region 5 ********************************</v>
      </c>
    </row>
    <row r="613" spans="1:2" x14ac:dyDescent="0.25">
      <c r="A613" s="2">
        <f>A501+19</f>
        <v>102</v>
      </c>
      <c r="B613" s="24" t="str">
        <f>"// &lt;e&gt;Configure MPU Region "&amp;A612</f>
        <v>// &lt;e&gt;Configure MPU Region 5</v>
      </c>
    </row>
    <row r="614" spans="1:2" x14ac:dyDescent="0.25">
      <c r="B614" s="24" t="s">
        <v>186</v>
      </c>
    </row>
    <row r="615" spans="1:2" x14ac:dyDescent="0.25">
      <c r="A615">
        <f>A613</f>
        <v>102</v>
      </c>
      <c r="B615" s="24" t="str">
        <f ca="1">"#define CONFIG_REG"&amp;A612&amp;"   "&amp;N(INDIRECT("CONFIG!A"&amp;A615))</f>
        <v>#define CONFIG_REG5   0</v>
      </c>
    </row>
    <row r="616" spans="1:2" x14ac:dyDescent="0.25">
      <c r="B616" s="24" t="s">
        <v>10</v>
      </c>
    </row>
    <row r="617" spans="1:2" x14ac:dyDescent="0.25">
      <c r="A617">
        <f>A613+1</f>
        <v>103</v>
      </c>
      <c r="B617" s="24" t="str">
        <f ca="1">"#define ENABLE_REG"&amp;A612&amp;"   "&amp;N(INDIRECT("CONFIG!A"&amp;A617))</f>
        <v>#define ENABLE_REG5   1</v>
      </c>
    </row>
    <row r="618" spans="1:2" x14ac:dyDescent="0.25">
      <c r="B618" s="24" t="s">
        <v>11</v>
      </c>
    </row>
    <row r="619" spans="1:2" x14ac:dyDescent="0.25">
      <c r="B619" s="24" t="s">
        <v>12</v>
      </c>
    </row>
    <row r="620" spans="1:2" x14ac:dyDescent="0.25">
      <c r="A620">
        <f>A613+2</f>
        <v>104</v>
      </c>
      <c r="B620" s="24" t="str" cm="1">
        <f t="array" aca="1" ref="B620" ca="1">"#define BASE_REG"&amp;A612&amp;"   "&amp;INDIRECT("CONFIG!A"&amp;A620)</f>
        <v>#define BASE_REG5   00000000</v>
      </c>
    </row>
    <row r="621" spans="1:2" x14ac:dyDescent="0.25">
      <c r="B621" s="24" t="s">
        <v>13</v>
      </c>
    </row>
    <row r="622" spans="1:2" x14ac:dyDescent="0.25">
      <c r="B622" s="24" t="s">
        <v>14</v>
      </c>
    </row>
    <row r="623" spans="1:2" x14ac:dyDescent="0.25">
      <c r="B623" s="24" t="s">
        <v>15</v>
      </c>
    </row>
    <row r="624" spans="1:2" x14ac:dyDescent="0.25">
      <c r="B624" s="24" t="s">
        <v>16</v>
      </c>
    </row>
    <row r="625" spans="2:2" x14ac:dyDescent="0.25">
      <c r="B625" s="24" t="s">
        <v>17</v>
      </c>
    </row>
    <row r="626" spans="2:2" x14ac:dyDescent="0.25">
      <c r="B626" s="24" t="s">
        <v>18</v>
      </c>
    </row>
    <row r="627" spans="2:2" x14ac:dyDescent="0.25">
      <c r="B627" s="24" t="s">
        <v>19</v>
      </c>
    </row>
    <row r="628" spans="2:2" x14ac:dyDescent="0.25">
      <c r="B628" s="24" t="s">
        <v>20</v>
      </c>
    </row>
    <row r="629" spans="2:2" x14ac:dyDescent="0.25">
      <c r="B629" s="24" t="s">
        <v>21</v>
      </c>
    </row>
    <row r="630" spans="2:2" x14ac:dyDescent="0.25">
      <c r="B630" s="24" t="s">
        <v>22</v>
      </c>
    </row>
    <row r="631" spans="2:2" x14ac:dyDescent="0.25">
      <c r="B631" s="24" t="s">
        <v>23</v>
      </c>
    </row>
    <row r="632" spans="2:2" x14ac:dyDescent="0.25">
      <c r="B632" s="24" t="s">
        <v>24</v>
      </c>
    </row>
    <row r="633" spans="2:2" x14ac:dyDescent="0.25">
      <c r="B633" s="24" t="s">
        <v>25</v>
      </c>
    </row>
    <row r="634" spans="2:2" x14ac:dyDescent="0.25">
      <c r="B634" s="24" t="s">
        <v>26</v>
      </c>
    </row>
    <row r="635" spans="2:2" x14ac:dyDescent="0.25">
      <c r="B635" s="24" t="s">
        <v>27</v>
      </c>
    </row>
    <row r="636" spans="2:2" x14ac:dyDescent="0.25">
      <c r="B636" s="24" t="s">
        <v>28</v>
      </c>
    </row>
    <row r="637" spans="2:2" x14ac:dyDescent="0.25">
      <c r="B637" s="24" t="s">
        <v>29</v>
      </c>
    </row>
    <row r="638" spans="2:2" x14ac:dyDescent="0.25">
      <c r="B638" s="24" t="s">
        <v>30</v>
      </c>
    </row>
    <row r="639" spans="2:2" x14ac:dyDescent="0.25">
      <c r="B639" s="24" t="s">
        <v>31</v>
      </c>
    </row>
    <row r="640" spans="2:2" x14ac:dyDescent="0.25">
      <c r="B640" s="24" t="s">
        <v>32</v>
      </c>
    </row>
    <row r="641" spans="1:2" x14ac:dyDescent="0.25">
      <c r="B641" s="24" t="s">
        <v>33</v>
      </c>
    </row>
    <row r="642" spans="1:2" x14ac:dyDescent="0.25">
      <c r="B642" s="24" t="s">
        <v>34</v>
      </c>
    </row>
    <row r="643" spans="1:2" x14ac:dyDescent="0.25">
      <c r="B643" s="24" t="s">
        <v>35</v>
      </c>
    </row>
    <row r="644" spans="1:2" x14ac:dyDescent="0.25">
      <c r="B644" s="24" t="s">
        <v>36</v>
      </c>
    </row>
    <row r="645" spans="1:2" x14ac:dyDescent="0.25">
      <c r="B645" s="24" t="s">
        <v>37</v>
      </c>
    </row>
    <row r="646" spans="1:2" x14ac:dyDescent="0.25">
      <c r="B646" s="24" t="s">
        <v>38</v>
      </c>
    </row>
    <row r="647" spans="1:2" x14ac:dyDescent="0.25">
      <c r="B647" s="24" t="s">
        <v>39</v>
      </c>
    </row>
    <row r="648" spans="1:2" x14ac:dyDescent="0.25">
      <c r="B648" s="24" t="s">
        <v>40</v>
      </c>
    </row>
    <row r="649" spans="1:2" x14ac:dyDescent="0.25">
      <c r="B649" s="24" t="s">
        <v>41</v>
      </c>
    </row>
    <row r="650" spans="1:2" x14ac:dyDescent="0.25">
      <c r="A650">
        <f>A613+3</f>
        <v>105</v>
      </c>
      <c r="B650" s="24" t="str" cm="1">
        <f t="array" aca="1" ref="B650" ca="1">"#define SIZE_REG"&amp;A612&amp;"   "&amp;INDIRECT("CONFIG!A"&amp;A650)+3</f>
        <v>#define SIZE_REG5   4</v>
      </c>
    </row>
    <row r="651" spans="1:2" x14ac:dyDescent="0.25">
      <c r="B651" s="24" t="s">
        <v>42</v>
      </c>
    </row>
    <row r="652" spans="1:2" x14ac:dyDescent="0.25">
      <c r="B652" s="24" t="s">
        <v>43</v>
      </c>
    </row>
    <row r="653" spans="1:2" x14ac:dyDescent="0.25">
      <c r="B653" s="24" t="s">
        <v>44</v>
      </c>
    </row>
    <row r="654" spans="1:2" x14ac:dyDescent="0.25">
      <c r="B654" s="24" t="s">
        <v>45</v>
      </c>
    </row>
    <row r="655" spans="1:2" x14ac:dyDescent="0.25">
      <c r="B655" s="24" t="s">
        <v>46</v>
      </c>
    </row>
    <row r="656" spans="1:2" x14ac:dyDescent="0.25">
      <c r="A656">
        <f>A613+6</f>
        <v>108</v>
      </c>
      <c r="B656" s="24" t="str">
        <f ca="1">"#define SRD_USE_REG"&amp;A612&amp;"  "&amp;N(OR(INDIRECT("CONFIG!A"&amp;A656&amp;":A"&amp;A656+7&amp;"")))</f>
        <v>#define SRD_USE_REG5  0</v>
      </c>
    </row>
    <row r="657" spans="1:2" x14ac:dyDescent="0.25">
      <c r="B657" s="24" t="s">
        <v>47</v>
      </c>
    </row>
    <row r="658" spans="1:2" x14ac:dyDescent="0.25">
      <c r="A658">
        <f>A613+6</f>
        <v>108</v>
      </c>
      <c r="B658" s="24" t="str">
        <f ca="1">"#define SRD0_REG"&amp;A612&amp;"   "&amp;N(INDIRECT("CONFIG!A"&amp;A658))</f>
        <v>#define SRD0_REG5   0</v>
      </c>
    </row>
    <row r="659" spans="1:2" x14ac:dyDescent="0.25">
      <c r="B659" s="24" t="s">
        <v>48</v>
      </c>
    </row>
    <row r="660" spans="1:2" x14ac:dyDescent="0.25">
      <c r="A660">
        <f>A613+7</f>
        <v>109</v>
      </c>
      <c r="B660" s="24" t="str">
        <f ca="1">"#define SRD1_REG"&amp;A612&amp;"   "&amp;N(INDIRECT("CONFIG!A"&amp;A660))*2</f>
        <v>#define SRD1_REG5   0</v>
      </c>
    </row>
    <row r="661" spans="1:2" x14ac:dyDescent="0.25">
      <c r="B661" s="24" t="s">
        <v>49</v>
      </c>
    </row>
    <row r="662" spans="1:2" x14ac:dyDescent="0.25">
      <c r="A662">
        <f>A613+8</f>
        <v>110</v>
      </c>
      <c r="B662" s="24" t="str">
        <f ca="1">"#define SRD2_REG"&amp;A612&amp;"   "&amp;N(INDIRECT("CONFIG!A"&amp;A662))*4</f>
        <v>#define SRD2_REG5   0</v>
      </c>
    </row>
    <row r="663" spans="1:2" x14ac:dyDescent="0.25">
      <c r="B663" s="24" t="s">
        <v>50</v>
      </c>
    </row>
    <row r="664" spans="1:2" x14ac:dyDescent="0.25">
      <c r="A664">
        <f>A613+9</f>
        <v>111</v>
      </c>
      <c r="B664" s="24" t="str">
        <f ca="1">"#define SRD3_REG"&amp;A612&amp;"   "&amp;N(INDIRECT("CONFIG!A"&amp;A664))*8</f>
        <v>#define SRD3_REG5   0</v>
      </c>
    </row>
    <row r="665" spans="1:2" x14ac:dyDescent="0.25">
      <c r="B665" s="24" t="s">
        <v>51</v>
      </c>
    </row>
    <row r="666" spans="1:2" x14ac:dyDescent="0.25">
      <c r="A666">
        <f>A613+10</f>
        <v>112</v>
      </c>
      <c r="B666" s="24" t="str">
        <f ca="1">"#define SRD4_REG"&amp;A612&amp;"   "&amp;N(INDIRECT("CONFIG!A"&amp;A666))*16</f>
        <v>#define SRD4_REG5   0</v>
      </c>
    </row>
    <row r="667" spans="1:2" x14ac:dyDescent="0.25">
      <c r="B667" s="24" t="s">
        <v>52</v>
      </c>
    </row>
    <row r="668" spans="1:2" x14ac:dyDescent="0.25">
      <c r="A668">
        <f>A613+11</f>
        <v>113</v>
      </c>
      <c r="B668" s="24" t="str">
        <f ca="1">"#define SRD5_REG"&amp;A612&amp;"   "&amp;N(INDIRECT("CONFIG!A"&amp;A668))*32</f>
        <v>#define SRD5_REG5   0</v>
      </c>
    </row>
    <row r="669" spans="1:2" x14ac:dyDescent="0.25">
      <c r="B669" s="24" t="s">
        <v>53</v>
      </c>
    </row>
    <row r="670" spans="1:2" x14ac:dyDescent="0.25">
      <c r="A670">
        <f>A613+12</f>
        <v>114</v>
      </c>
      <c r="B670" s="24" t="str">
        <f ca="1">"#define SRD6_REG"&amp;A612&amp;"   "&amp;N(INDIRECT("CONFIG!A"&amp;A670))*64</f>
        <v>#define SRD6_REG5   0</v>
      </c>
    </row>
    <row r="671" spans="1:2" x14ac:dyDescent="0.25">
      <c r="B671" s="24" t="s">
        <v>54</v>
      </c>
    </row>
    <row r="672" spans="1:2" x14ac:dyDescent="0.25">
      <c r="A672">
        <f>A613+13</f>
        <v>115</v>
      </c>
      <c r="B672" s="24" t="str">
        <f ca="1">"#define SRD7_REG"&amp;A612&amp;"   "&amp;N(INDIRECT("CONFIG!A"&amp;A672))*128</f>
        <v>#define SRD7_REG5   0</v>
      </c>
    </row>
    <row r="673" spans="1:2" x14ac:dyDescent="0.25">
      <c r="B673" s="24" t="str">
        <f>"#define SRD_REG"&amp;A612&amp;" ((SRD_USE_REG"&amp;A612&amp;" == 0)?0: (SRD0_REG"&amp;A612&amp;" | SRD1_REG"&amp;A612&amp;" | SRD2_REG"&amp;A612&amp;" | SRD3_REG"&amp;A612&amp;" |\"</f>
        <v>#define SRD_REG5 ((SRD_USE_REG5 == 0)?0: (SRD0_REG5 | SRD1_REG5 | SRD2_REG5 | SRD3_REG5 |\</v>
      </c>
    </row>
    <row r="674" spans="1:2" x14ac:dyDescent="0.25">
      <c r="B674" s="24" t="str">
        <f>"                      SRD4_REG"&amp;A612&amp;" | SRD5_REG"&amp;A612&amp;" | SRD6_REG"&amp;A612&amp;" | SRD7_REG"&amp;A612&amp;" ))"</f>
        <v xml:space="preserve">                      SRD4_REG5 | SRD5_REG5 | SRD6_REG5 | SRD7_REG5 ))</v>
      </c>
    </row>
    <row r="675" spans="1:2" x14ac:dyDescent="0.25">
      <c r="B675" s="24" t="s">
        <v>55</v>
      </c>
    </row>
    <row r="676" spans="1:2" x14ac:dyDescent="0.25">
      <c r="B676" s="24" t="s">
        <v>56</v>
      </c>
    </row>
    <row r="677" spans="1:2" x14ac:dyDescent="0.25">
      <c r="B677" s="24" t="s">
        <v>57</v>
      </c>
    </row>
    <row r="678" spans="1:2" x14ac:dyDescent="0.25">
      <c r="B678" s="24" t="s">
        <v>58</v>
      </c>
    </row>
    <row r="679" spans="1:2" x14ac:dyDescent="0.25">
      <c r="B679" s="24" t="s">
        <v>59</v>
      </c>
    </row>
    <row r="680" spans="1:2" x14ac:dyDescent="0.25">
      <c r="B680" s="24" t="s">
        <v>60</v>
      </c>
    </row>
    <row r="681" spans="1:2" x14ac:dyDescent="0.25">
      <c r="B681" s="24" t="s">
        <v>61</v>
      </c>
    </row>
    <row r="682" spans="1:2" x14ac:dyDescent="0.25">
      <c r="B682" s="24" t="s">
        <v>62</v>
      </c>
    </row>
    <row r="683" spans="1:2" x14ac:dyDescent="0.25">
      <c r="A683">
        <f>A613+14</f>
        <v>116</v>
      </c>
      <c r="B683" s="24" t="str" cm="1">
        <f t="array" aca="1" ref="B683" ca="1">"#define PERM_REG"&amp;A612&amp;"   "&amp;INDIRECT("CONFIG!A"&amp;A683)-IF(INDIRECT("CONFIG!A"&amp;A683)&lt;6,1,0)</f>
        <v>#define PERM_REG5   0</v>
      </c>
    </row>
    <row r="684" spans="1:2" x14ac:dyDescent="0.25">
      <c r="B684" s="24" t="s">
        <v>63</v>
      </c>
    </row>
    <row r="685" spans="1:2" x14ac:dyDescent="0.25">
      <c r="A685">
        <f>A613+15</f>
        <v>117</v>
      </c>
      <c r="B685" s="24" t="str">
        <f ca="1">"#define XN_REG"&amp;A612&amp;"   "&amp;N(INDIRECT("CONFIG!A"&amp;A685))</f>
        <v>#define XN_REG5   0</v>
      </c>
    </row>
    <row r="686" spans="1:2" x14ac:dyDescent="0.25">
      <c r="B686" s="24" t="s">
        <v>259</v>
      </c>
    </row>
    <row r="687" spans="1:2" x14ac:dyDescent="0.25">
      <c r="B687" s="24" t="s">
        <v>64</v>
      </c>
    </row>
    <row r="688" spans="1:2" x14ac:dyDescent="0.25">
      <c r="A688">
        <f>A613+16</f>
        <v>118</v>
      </c>
      <c r="B688" s="24" t="str">
        <f ca="1">"#define SHARE_REG"&amp;A612&amp;"   "&amp;"("&amp;N(INDIRECT("CONFIG!A"&amp;A688))&amp;"&lt;&lt;MPU_RASR_S_Pos)"</f>
        <v>#define SHARE_REG5   (1&lt;&lt;MPU_RASR_S_Pos)</v>
      </c>
    </row>
    <row r="689" spans="2:2" x14ac:dyDescent="0.25">
      <c r="B689" s="24" t="s">
        <v>65</v>
      </c>
    </row>
    <row r="690" spans="2:2" x14ac:dyDescent="0.25">
      <c r="B690" s="24" t="s">
        <v>66</v>
      </c>
    </row>
    <row r="691" spans="2:2" x14ac:dyDescent="0.25">
      <c r="B691" s="24" t="s">
        <v>67</v>
      </c>
    </row>
    <row r="692" spans="2:2" x14ac:dyDescent="0.25">
      <c r="B692" s="24" t="s">
        <v>68</v>
      </c>
    </row>
    <row r="693" spans="2:2" x14ac:dyDescent="0.25">
      <c r="B693" s="24" t="s">
        <v>69</v>
      </c>
    </row>
    <row r="694" spans="2:2" x14ac:dyDescent="0.25">
      <c r="B694" s="24" t="s">
        <v>70</v>
      </c>
    </row>
    <row r="695" spans="2:2" x14ac:dyDescent="0.25">
      <c r="B695" s="24" t="s">
        <v>71</v>
      </c>
    </row>
    <row r="696" spans="2:2" x14ac:dyDescent="0.25">
      <c r="B696" s="24" t="s">
        <v>72</v>
      </c>
    </row>
    <row r="697" spans="2:2" x14ac:dyDescent="0.25">
      <c r="B697" s="24" t="s">
        <v>73</v>
      </c>
    </row>
    <row r="698" spans="2:2" x14ac:dyDescent="0.25">
      <c r="B698" s="24" t="s">
        <v>74</v>
      </c>
    </row>
    <row r="699" spans="2:2" x14ac:dyDescent="0.25">
      <c r="B699" s="24" t="s">
        <v>75</v>
      </c>
    </row>
    <row r="700" spans="2:2" x14ac:dyDescent="0.25">
      <c r="B700" s="24" t="s">
        <v>76</v>
      </c>
    </row>
    <row r="701" spans="2:2" x14ac:dyDescent="0.25">
      <c r="B701" s="24" t="s">
        <v>77</v>
      </c>
    </row>
    <row r="702" spans="2:2" x14ac:dyDescent="0.25">
      <c r="B702" s="24" t="s">
        <v>78</v>
      </c>
    </row>
    <row r="703" spans="2:2" x14ac:dyDescent="0.25">
      <c r="B703" s="24" t="s">
        <v>79</v>
      </c>
    </row>
    <row r="704" spans="2:2" x14ac:dyDescent="0.25">
      <c r="B704" s="24" t="s">
        <v>80</v>
      </c>
    </row>
    <row r="705" spans="1:2" x14ac:dyDescent="0.25">
      <c r="B705" s="24" t="s">
        <v>81</v>
      </c>
    </row>
    <row r="706" spans="1:2" x14ac:dyDescent="0.25">
      <c r="B706" s="24" t="s">
        <v>82</v>
      </c>
    </row>
    <row r="707" spans="1:2" x14ac:dyDescent="0.25">
      <c r="B707" s="24" t="s">
        <v>83</v>
      </c>
    </row>
    <row r="708" spans="1:2" x14ac:dyDescent="0.25">
      <c r="B708" s="24" t="s">
        <v>84</v>
      </c>
    </row>
    <row r="709" spans="1:2" x14ac:dyDescent="0.25">
      <c r="B709" s="24" t="s">
        <v>85</v>
      </c>
    </row>
    <row r="710" spans="1:2" x14ac:dyDescent="0.25">
      <c r="B710" s="24" t="s">
        <v>86</v>
      </c>
    </row>
    <row r="711" spans="1:2" x14ac:dyDescent="0.25">
      <c r="B711" s="24" t="s">
        <v>87</v>
      </c>
    </row>
    <row r="712" spans="1:2" x14ac:dyDescent="0.25">
      <c r="B712" s="24" t="s">
        <v>88</v>
      </c>
    </row>
    <row r="713" spans="1:2" x14ac:dyDescent="0.25">
      <c r="B713" s="24" t="s">
        <v>89</v>
      </c>
    </row>
    <row r="714" spans="1:2" x14ac:dyDescent="0.25">
      <c r="B714" s="24" t="s">
        <v>90</v>
      </c>
    </row>
    <row r="715" spans="1:2" x14ac:dyDescent="0.25">
      <c r="B715" s="24" t="s">
        <v>91</v>
      </c>
    </row>
    <row r="716" spans="1:2" x14ac:dyDescent="0.25">
      <c r="B716" s="24" t="s">
        <v>92</v>
      </c>
    </row>
    <row r="717" spans="1:2" x14ac:dyDescent="0.25">
      <c r="B717" s="24" t="s">
        <v>93</v>
      </c>
    </row>
    <row r="718" spans="1:2" x14ac:dyDescent="0.25">
      <c r="B718" s="24" t="s">
        <v>94</v>
      </c>
    </row>
    <row r="719" spans="1:2" x14ac:dyDescent="0.25">
      <c r="B719" s="24" t="s">
        <v>95</v>
      </c>
    </row>
    <row r="720" spans="1:2" x14ac:dyDescent="0.25">
      <c r="A720">
        <f>A613+17</f>
        <v>119</v>
      </c>
      <c r="B720" s="24" t="str" cm="1">
        <f t="array" aca="1" ref="B720" ca="1">"#define ACCESS_REG"&amp;A612&amp;"   "&amp;MID(INDIRECT("B"&amp;INDIRECT("CONFIG!A"&amp;A720)+129),13,8)</f>
        <v>#define ACCESS_REG5   0x020000</v>
      </c>
    </row>
    <row r="721" spans="1:2" x14ac:dyDescent="0.25">
      <c r="B721" s="24" t="str">
        <f>"#define TEXSCB_REG"&amp;A612&amp;" (ACCESS_REG"&amp;A612&amp;" | SHARE_REG"&amp;A612&amp;")"</f>
        <v>#define TEXSCB_REG5 (ACCESS_REG5 | SHARE_REG5)</v>
      </c>
    </row>
    <row r="722" spans="1:2" x14ac:dyDescent="0.25">
      <c r="B722" s="24" t="str">
        <f>"//   &lt;/e&gt;   //MPU Region "&amp;A612&amp;" ********************************"</f>
        <v>//   &lt;/e&gt;   //MPU Region 5 ********************************</v>
      </c>
    </row>
    <row r="723" spans="1:2" x14ac:dyDescent="0.25">
      <c r="B723" s="24"/>
    </row>
    <row r="724" spans="1:2" x14ac:dyDescent="0.25">
      <c r="A724" s="2">
        <f>A612+1</f>
        <v>6</v>
      </c>
      <c r="B724" s="24" t="str">
        <f>"// MPU Region "&amp;A724&amp;" ********************************"</f>
        <v>// MPU Region 6 ********************************</v>
      </c>
    </row>
    <row r="725" spans="1:2" x14ac:dyDescent="0.25">
      <c r="A725" s="2">
        <f>A613+19</f>
        <v>121</v>
      </c>
      <c r="B725" s="24" t="str">
        <f>"// &lt;e&gt;Configure MPU Region "&amp;A724</f>
        <v>// &lt;e&gt;Configure MPU Region 6</v>
      </c>
    </row>
    <row r="726" spans="1:2" x14ac:dyDescent="0.25">
      <c r="B726" s="24" t="s">
        <v>186</v>
      </c>
    </row>
    <row r="727" spans="1:2" x14ac:dyDescent="0.25">
      <c r="A727">
        <f>A725</f>
        <v>121</v>
      </c>
      <c r="B727" s="24" t="str">
        <f ca="1">"#define CONFIG_REG"&amp;A724&amp;"   "&amp;N(INDIRECT("CONFIG!A"&amp;A727))</f>
        <v>#define CONFIG_REG6   0</v>
      </c>
    </row>
    <row r="728" spans="1:2" x14ac:dyDescent="0.25">
      <c r="B728" s="24" t="s">
        <v>10</v>
      </c>
    </row>
    <row r="729" spans="1:2" x14ac:dyDescent="0.25">
      <c r="A729">
        <f>A725+1</f>
        <v>122</v>
      </c>
      <c r="B729" s="24" t="str">
        <f ca="1">"#define ENABLE_REG"&amp;A724&amp;"   "&amp;N(INDIRECT("CONFIG!A"&amp;A729))</f>
        <v>#define ENABLE_REG6   1</v>
      </c>
    </row>
    <row r="730" spans="1:2" x14ac:dyDescent="0.25">
      <c r="B730" s="24" t="s">
        <v>11</v>
      </c>
    </row>
    <row r="731" spans="1:2" x14ac:dyDescent="0.25">
      <c r="B731" s="24" t="s">
        <v>12</v>
      </c>
    </row>
    <row r="732" spans="1:2" x14ac:dyDescent="0.25">
      <c r="A732">
        <f>A725+2</f>
        <v>123</v>
      </c>
      <c r="B732" s="24" t="str" cm="1">
        <f t="array" aca="1" ref="B732" ca="1">"#define BASE_REG"&amp;A724&amp;"   "&amp;INDIRECT("CONFIG!A"&amp;A732)</f>
        <v>#define BASE_REG6   00000000</v>
      </c>
    </row>
    <row r="733" spans="1:2" x14ac:dyDescent="0.25">
      <c r="B733" s="24" t="s">
        <v>13</v>
      </c>
    </row>
    <row r="734" spans="1:2" x14ac:dyDescent="0.25">
      <c r="B734" s="24" t="s">
        <v>14</v>
      </c>
    </row>
    <row r="735" spans="1:2" x14ac:dyDescent="0.25">
      <c r="B735" s="24" t="s">
        <v>15</v>
      </c>
    </row>
    <row r="736" spans="1:2" x14ac:dyDescent="0.25">
      <c r="B736" s="24" t="s">
        <v>16</v>
      </c>
    </row>
    <row r="737" spans="2:2" x14ac:dyDescent="0.25">
      <c r="B737" s="24" t="s">
        <v>17</v>
      </c>
    </row>
    <row r="738" spans="2:2" x14ac:dyDescent="0.25">
      <c r="B738" s="24" t="s">
        <v>18</v>
      </c>
    </row>
    <row r="739" spans="2:2" x14ac:dyDescent="0.25">
      <c r="B739" s="24" t="s">
        <v>19</v>
      </c>
    </row>
    <row r="740" spans="2:2" x14ac:dyDescent="0.25">
      <c r="B740" s="24" t="s">
        <v>20</v>
      </c>
    </row>
    <row r="741" spans="2:2" x14ac:dyDescent="0.25">
      <c r="B741" s="24" t="s">
        <v>21</v>
      </c>
    </row>
    <row r="742" spans="2:2" x14ac:dyDescent="0.25">
      <c r="B742" s="24" t="s">
        <v>22</v>
      </c>
    </row>
    <row r="743" spans="2:2" x14ac:dyDescent="0.25">
      <c r="B743" s="24" t="s">
        <v>23</v>
      </c>
    </row>
    <row r="744" spans="2:2" x14ac:dyDescent="0.25">
      <c r="B744" s="24" t="s">
        <v>24</v>
      </c>
    </row>
    <row r="745" spans="2:2" x14ac:dyDescent="0.25">
      <c r="B745" s="24" t="s">
        <v>25</v>
      </c>
    </row>
    <row r="746" spans="2:2" x14ac:dyDescent="0.25">
      <c r="B746" s="24" t="s">
        <v>26</v>
      </c>
    </row>
    <row r="747" spans="2:2" x14ac:dyDescent="0.25">
      <c r="B747" s="24" t="s">
        <v>27</v>
      </c>
    </row>
    <row r="748" spans="2:2" x14ac:dyDescent="0.25">
      <c r="B748" s="24" t="s">
        <v>28</v>
      </c>
    </row>
    <row r="749" spans="2:2" x14ac:dyDescent="0.25">
      <c r="B749" s="24" t="s">
        <v>29</v>
      </c>
    </row>
    <row r="750" spans="2:2" x14ac:dyDescent="0.25">
      <c r="B750" s="24" t="s">
        <v>30</v>
      </c>
    </row>
    <row r="751" spans="2:2" x14ac:dyDescent="0.25">
      <c r="B751" s="24" t="s">
        <v>31</v>
      </c>
    </row>
    <row r="752" spans="2:2" x14ac:dyDescent="0.25">
      <c r="B752" s="24" t="s">
        <v>32</v>
      </c>
    </row>
    <row r="753" spans="1:2" x14ac:dyDescent="0.25">
      <c r="B753" s="24" t="s">
        <v>33</v>
      </c>
    </row>
    <row r="754" spans="1:2" x14ac:dyDescent="0.25">
      <c r="B754" s="24" t="s">
        <v>34</v>
      </c>
    </row>
    <row r="755" spans="1:2" x14ac:dyDescent="0.25">
      <c r="B755" s="24" t="s">
        <v>35</v>
      </c>
    </row>
    <row r="756" spans="1:2" x14ac:dyDescent="0.25">
      <c r="B756" s="24" t="s">
        <v>36</v>
      </c>
    </row>
    <row r="757" spans="1:2" x14ac:dyDescent="0.25">
      <c r="B757" s="24" t="s">
        <v>37</v>
      </c>
    </row>
    <row r="758" spans="1:2" x14ac:dyDescent="0.25">
      <c r="B758" s="24" t="s">
        <v>38</v>
      </c>
    </row>
    <row r="759" spans="1:2" x14ac:dyDescent="0.25">
      <c r="B759" s="24" t="s">
        <v>39</v>
      </c>
    </row>
    <row r="760" spans="1:2" x14ac:dyDescent="0.25">
      <c r="B760" s="24" t="s">
        <v>40</v>
      </c>
    </row>
    <row r="761" spans="1:2" x14ac:dyDescent="0.25">
      <c r="B761" s="24" t="s">
        <v>41</v>
      </c>
    </row>
    <row r="762" spans="1:2" x14ac:dyDescent="0.25">
      <c r="A762">
        <f>A725+3</f>
        <v>124</v>
      </c>
      <c r="B762" s="24" t="str" cm="1">
        <f t="array" aca="1" ref="B762" ca="1">"#define SIZE_REG"&amp;A724&amp;"   "&amp;INDIRECT("CONFIG!A"&amp;A762)+3</f>
        <v>#define SIZE_REG6   4</v>
      </c>
    </row>
    <row r="763" spans="1:2" x14ac:dyDescent="0.25">
      <c r="B763" s="24" t="s">
        <v>42</v>
      </c>
    </row>
    <row r="764" spans="1:2" x14ac:dyDescent="0.25">
      <c r="B764" s="24" t="s">
        <v>43</v>
      </c>
    </row>
    <row r="765" spans="1:2" x14ac:dyDescent="0.25">
      <c r="B765" s="24" t="s">
        <v>44</v>
      </c>
    </row>
    <row r="766" spans="1:2" x14ac:dyDescent="0.25">
      <c r="B766" s="24" t="s">
        <v>45</v>
      </c>
    </row>
    <row r="767" spans="1:2" x14ac:dyDescent="0.25">
      <c r="B767" s="24" t="s">
        <v>46</v>
      </c>
    </row>
    <row r="768" spans="1:2" x14ac:dyDescent="0.25">
      <c r="A768">
        <f>A725+6</f>
        <v>127</v>
      </c>
      <c r="B768" s="24" t="str">
        <f ca="1">"#define SRD_USE_REG"&amp;A724&amp;"  "&amp;N(OR(INDIRECT("CONFIG!A"&amp;A768&amp;":A"&amp;A768+7&amp;"")))</f>
        <v>#define SRD_USE_REG6  0</v>
      </c>
    </row>
    <row r="769" spans="1:2" x14ac:dyDescent="0.25">
      <c r="B769" s="24" t="s">
        <v>47</v>
      </c>
    </row>
    <row r="770" spans="1:2" x14ac:dyDescent="0.25">
      <c r="A770">
        <f>A725+6</f>
        <v>127</v>
      </c>
      <c r="B770" s="24" t="str">
        <f ca="1">"#define SRD0_REG"&amp;A724&amp;"   "&amp;N(INDIRECT("CONFIG!A"&amp;A770))</f>
        <v>#define SRD0_REG6   0</v>
      </c>
    </row>
    <row r="771" spans="1:2" x14ac:dyDescent="0.25">
      <c r="B771" s="24" t="s">
        <v>48</v>
      </c>
    </row>
    <row r="772" spans="1:2" x14ac:dyDescent="0.25">
      <c r="A772">
        <f>A725+7</f>
        <v>128</v>
      </c>
      <c r="B772" s="24" t="str">
        <f ca="1">"#define SRD1_REG"&amp;A724&amp;"   "&amp;N(INDIRECT("CONFIG!A"&amp;A772))*2</f>
        <v>#define SRD1_REG6   0</v>
      </c>
    </row>
    <row r="773" spans="1:2" x14ac:dyDescent="0.25">
      <c r="B773" s="24" t="s">
        <v>49</v>
      </c>
    </row>
    <row r="774" spans="1:2" x14ac:dyDescent="0.25">
      <c r="A774">
        <f>A725+8</f>
        <v>129</v>
      </c>
      <c r="B774" s="24" t="str">
        <f ca="1">"#define SRD2_REG"&amp;A724&amp;"   "&amp;N(INDIRECT("CONFIG!A"&amp;A774))*4</f>
        <v>#define SRD2_REG6   0</v>
      </c>
    </row>
    <row r="775" spans="1:2" x14ac:dyDescent="0.25">
      <c r="B775" s="24" t="s">
        <v>50</v>
      </c>
    </row>
    <row r="776" spans="1:2" x14ac:dyDescent="0.25">
      <c r="A776">
        <f>A725+9</f>
        <v>130</v>
      </c>
      <c r="B776" s="24" t="str">
        <f ca="1">"#define SRD3_REG"&amp;A724&amp;"   "&amp;N(INDIRECT("CONFIG!A"&amp;A776))*8</f>
        <v>#define SRD3_REG6   0</v>
      </c>
    </row>
    <row r="777" spans="1:2" x14ac:dyDescent="0.25">
      <c r="B777" s="24" t="s">
        <v>51</v>
      </c>
    </row>
    <row r="778" spans="1:2" x14ac:dyDescent="0.25">
      <c r="A778">
        <f>A725+10</f>
        <v>131</v>
      </c>
      <c r="B778" s="24" t="str">
        <f ca="1">"#define SRD4_REG"&amp;A724&amp;"   "&amp;N(INDIRECT("CONFIG!A"&amp;A778))*16</f>
        <v>#define SRD4_REG6   0</v>
      </c>
    </row>
    <row r="779" spans="1:2" x14ac:dyDescent="0.25">
      <c r="B779" s="24" t="s">
        <v>52</v>
      </c>
    </row>
    <row r="780" spans="1:2" x14ac:dyDescent="0.25">
      <c r="A780">
        <f>A725+11</f>
        <v>132</v>
      </c>
      <c r="B780" s="24" t="str">
        <f ca="1">"#define SRD5_REG"&amp;A724&amp;"   "&amp;N(INDIRECT("CONFIG!A"&amp;A780))*32</f>
        <v>#define SRD5_REG6   0</v>
      </c>
    </row>
    <row r="781" spans="1:2" x14ac:dyDescent="0.25">
      <c r="B781" s="24" t="s">
        <v>53</v>
      </c>
    </row>
    <row r="782" spans="1:2" x14ac:dyDescent="0.25">
      <c r="A782">
        <f>A725+12</f>
        <v>133</v>
      </c>
      <c r="B782" s="24" t="str">
        <f ca="1">"#define SRD6_REG"&amp;A724&amp;"   "&amp;N(INDIRECT("CONFIG!A"&amp;A782))*64</f>
        <v>#define SRD6_REG6   0</v>
      </c>
    </row>
    <row r="783" spans="1:2" x14ac:dyDescent="0.25">
      <c r="B783" s="24" t="s">
        <v>54</v>
      </c>
    </row>
    <row r="784" spans="1:2" x14ac:dyDescent="0.25">
      <c r="A784">
        <f>A725+13</f>
        <v>134</v>
      </c>
      <c r="B784" s="24" t="str">
        <f ca="1">"#define SRD7_REG"&amp;A724&amp;"   "&amp;N(INDIRECT("CONFIG!A"&amp;A784))*128</f>
        <v>#define SRD7_REG6   0</v>
      </c>
    </row>
    <row r="785" spans="1:2" x14ac:dyDescent="0.25">
      <c r="B785" s="24" t="str">
        <f>"#define SRD_REG"&amp;A724&amp;" ((SRD_USE_REG"&amp;A724&amp;" == 0)?0: (SRD0_REG"&amp;A724&amp;" | SRD1_REG"&amp;A724&amp;" | SRD2_REG"&amp;A724&amp;" | SRD3_REG"&amp;A724&amp;" |\"</f>
        <v>#define SRD_REG6 ((SRD_USE_REG6 == 0)?0: (SRD0_REG6 | SRD1_REG6 | SRD2_REG6 | SRD3_REG6 |\</v>
      </c>
    </row>
    <row r="786" spans="1:2" x14ac:dyDescent="0.25">
      <c r="B786" s="24" t="str">
        <f>"                      SRD4_REG"&amp;A724&amp;" | SRD5_REG"&amp;A724&amp;" | SRD6_REG"&amp;A724&amp;" | SRD7_REG"&amp;A724&amp;" ))"</f>
        <v xml:space="preserve">                      SRD4_REG6 | SRD5_REG6 | SRD6_REG6 | SRD7_REG6 ))</v>
      </c>
    </row>
    <row r="787" spans="1:2" x14ac:dyDescent="0.25">
      <c r="B787" s="24" t="s">
        <v>55</v>
      </c>
    </row>
    <row r="788" spans="1:2" x14ac:dyDescent="0.25">
      <c r="B788" s="24" t="s">
        <v>56</v>
      </c>
    </row>
    <row r="789" spans="1:2" x14ac:dyDescent="0.25">
      <c r="B789" s="24" t="s">
        <v>57</v>
      </c>
    </row>
    <row r="790" spans="1:2" x14ac:dyDescent="0.25">
      <c r="B790" s="24" t="s">
        <v>58</v>
      </c>
    </row>
    <row r="791" spans="1:2" x14ac:dyDescent="0.25">
      <c r="B791" s="24" t="s">
        <v>59</v>
      </c>
    </row>
    <row r="792" spans="1:2" x14ac:dyDescent="0.25">
      <c r="B792" s="24" t="s">
        <v>60</v>
      </c>
    </row>
    <row r="793" spans="1:2" x14ac:dyDescent="0.25">
      <c r="B793" s="24" t="s">
        <v>61</v>
      </c>
    </row>
    <row r="794" spans="1:2" x14ac:dyDescent="0.25">
      <c r="B794" s="24" t="s">
        <v>62</v>
      </c>
    </row>
    <row r="795" spans="1:2" x14ac:dyDescent="0.25">
      <c r="A795">
        <f>A725+14</f>
        <v>135</v>
      </c>
      <c r="B795" s="24" t="str" cm="1">
        <f t="array" aca="1" ref="B795" ca="1">"#define PERM_REG"&amp;A724&amp;"   "&amp;INDIRECT("CONFIG!A"&amp;A795)-IF(INDIRECT("CONFIG!A"&amp;A795)&lt;6,1,0)</f>
        <v>#define PERM_REG6   0</v>
      </c>
    </row>
    <row r="796" spans="1:2" x14ac:dyDescent="0.25">
      <c r="B796" s="24" t="s">
        <v>63</v>
      </c>
    </row>
    <row r="797" spans="1:2" x14ac:dyDescent="0.25">
      <c r="A797">
        <f>A725+15</f>
        <v>136</v>
      </c>
      <c r="B797" s="24" t="str">
        <f ca="1">"#define XN_REG"&amp;A724&amp;"   "&amp;N(INDIRECT("CONFIG!A"&amp;A797))</f>
        <v>#define XN_REG6   0</v>
      </c>
    </row>
    <row r="798" spans="1:2" x14ac:dyDescent="0.25">
      <c r="B798" s="24" t="s">
        <v>259</v>
      </c>
    </row>
    <row r="799" spans="1:2" x14ac:dyDescent="0.25">
      <c r="B799" s="24" t="s">
        <v>64</v>
      </c>
    </row>
    <row r="800" spans="1:2" x14ac:dyDescent="0.25">
      <c r="A800">
        <f>A725+16</f>
        <v>137</v>
      </c>
      <c r="B800" s="24" t="str">
        <f ca="1">"#define SHARE_REG"&amp;A724&amp;"   "&amp;"("&amp;N(INDIRECT("CONFIG!A"&amp;A800))&amp;"&lt;&lt;MPU_RASR_S_Pos)"</f>
        <v>#define SHARE_REG6   (1&lt;&lt;MPU_RASR_S_Pos)</v>
      </c>
    </row>
    <row r="801" spans="2:2" x14ac:dyDescent="0.25">
      <c r="B801" s="24" t="s">
        <v>65</v>
      </c>
    </row>
    <row r="802" spans="2:2" x14ac:dyDescent="0.25">
      <c r="B802" s="24" t="s">
        <v>66</v>
      </c>
    </row>
    <row r="803" spans="2:2" x14ac:dyDescent="0.25">
      <c r="B803" s="24" t="s">
        <v>67</v>
      </c>
    </row>
    <row r="804" spans="2:2" x14ac:dyDescent="0.25">
      <c r="B804" s="24" t="s">
        <v>68</v>
      </c>
    </row>
    <row r="805" spans="2:2" x14ac:dyDescent="0.25">
      <c r="B805" s="24" t="s">
        <v>69</v>
      </c>
    </row>
    <row r="806" spans="2:2" x14ac:dyDescent="0.25">
      <c r="B806" s="24" t="s">
        <v>70</v>
      </c>
    </row>
    <row r="807" spans="2:2" x14ac:dyDescent="0.25">
      <c r="B807" s="24" t="s">
        <v>71</v>
      </c>
    </row>
    <row r="808" spans="2:2" x14ac:dyDescent="0.25">
      <c r="B808" s="24" t="s">
        <v>72</v>
      </c>
    </row>
    <row r="809" spans="2:2" x14ac:dyDescent="0.25">
      <c r="B809" s="24" t="s">
        <v>73</v>
      </c>
    </row>
    <row r="810" spans="2:2" x14ac:dyDescent="0.25">
      <c r="B810" s="24" t="s">
        <v>74</v>
      </c>
    </row>
    <row r="811" spans="2:2" x14ac:dyDescent="0.25">
      <c r="B811" s="24" t="s">
        <v>75</v>
      </c>
    </row>
    <row r="812" spans="2:2" x14ac:dyDescent="0.25">
      <c r="B812" s="24" t="s">
        <v>76</v>
      </c>
    </row>
    <row r="813" spans="2:2" x14ac:dyDescent="0.25">
      <c r="B813" s="24" t="s">
        <v>77</v>
      </c>
    </row>
    <row r="814" spans="2:2" x14ac:dyDescent="0.25">
      <c r="B814" s="24" t="s">
        <v>78</v>
      </c>
    </row>
    <row r="815" spans="2:2" x14ac:dyDescent="0.25">
      <c r="B815" s="24" t="s">
        <v>79</v>
      </c>
    </row>
    <row r="816" spans="2:2" x14ac:dyDescent="0.25">
      <c r="B816" s="24" t="s">
        <v>80</v>
      </c>
    </row>
    <row r="817" spans="1:2" x14ac:dyDescent="0.25">
      <c r="B817" s="24" t="s">
        <v>81</v>
      </c>
    </row>
    <row r="818" spans="1:2" x14ac:dyDescent="0.25">
      <c r="B818" s="24" t="s">
        <v>82</v>
      </c>
    </row>
    <row r="819" spans="1:2" x14ac:dyDescent="0.25">
      <c r="B819" s="24" t="s">
        <v>83</v>
      </c>
    </row>
    <row r="820" spans="1:2" x14ac:dyDescent="0.25">
      <c r="B820" s="24" t="s">
        <v>84</v>
      </c>
    </row>
    <row r="821" spans="1:2" x14ac:dyDescent="0.25">
      <c r="B821" s="24" t="s">
        <v>85</v>
      </c>
    </row>
    <row r="822" spans="1:2" x14ac:dyDescent="0.25">
      <c r="B822" s="24" t="s">
        <v>86</v>
      </c>
    </row>
    <row r="823" spans="1:2" x14ac:dyDescent="0.25">
      <c r="B823" s="24" t="s">
        <v>87</v>
      </c>
    </row>
    <row r="824" spans="1:2" x14ac:dyDescent="0.25">
      <c r="B824" s="24" t="s">
        <v>88</v>
      </c>
    </row>
    <row r="825" spans="1:2" x14ac:dyDescent="0.25">
      <c r="B825" s="24" t="s">
        <v>89</v>
      </c>
    </row>
    <row r="826" spans="1:2" x14ac:dyDescent="0.25">
      <c r="B826" s="24" t="s">
        <v>90</v>
      </c>
    </row>
    <row r="827" spans="1:2" x14ac:dyDescent="0.25">
      <c r="B827" s="24" t="s">
        <v>91</v>
      </c>
    </row>
    <row r="828" spans="1:2" x14ac:dyDescent="0.25">
      <c r="B828" s="24" t="s">
        <v>92</v>
      </c>
    </row>
    <row r="829" spans="1:2" x14ac:dyDescent="0.25">
      <c r="B829" s="24" t="s">
        <v>93</v>
      </c>
    </row>
    <row r="830" spans="1:2" x14ac:dyDescent="0.25">
      <c r="B830" s="24" t="s">
        <v>94</v>
      </c>
    </row>
    <row r="831" spans="1:2" x14ac:dyDescent="0.25">
      <c r="B831" s="24" t="s">
        <v>95</v>
      </c>
    </row>
    <row r="832" spans="1:2" x14ac:dyDescent="0.25">
      <c r="A832">
        <f>A725+17</f>
        <v>138</v>
      </c>
      <c r="B832" s="24" t="str" cm="1">
        <f t="array" aca="1" ref="B832" ca="1">"#define ACCESS_REG"&amp;A724&amp;"   "&amp;MID(INDIRECT("B"&amp;INDIRECT("CONFIG!A"&amp;A832)+129),13,8)</f>
        <v>#define ACCESS_REG6   0x020000</v>
      </c>
    </row>
    <row r="833" spans="1:2" x14ac:dyDescent="0.25">
      <c r="B833" s="24" t="str">
        <f>"#define TEXSCB_REG"&amp;A724&amp;" (ACCESS_REG"&amp;A724&amp;" | SHARE_REG"&amp;A724&amp;")"</f>
        <v>#define TEXSCB_REG6 (ACCESS_REG6 | SHARE_REG6)</v>
      </c>
    </row>
    <row r="834" spans="1:2" x14ac:dyDescent="0.25">
      <c r="B834" s="24" t="str">
        <f>"//   &lt;/e&gt;   //MPU Region "&amp;A724&amp;" ********************************"</f>
        <v>//   &lt;/e&gt;   //MPU Region 6 ********************************</v>
      </c>
    </row>
    <row r="835" spans="1:2" x14ac:dyDescent="0.25">
      <c r="B835" s="24"/>
    </row>
    <row r="836" spans="1:2" x14ac:dyDescent="0.25">
      <c r="A836" s="2">
        <f>A724+1</f>
        <v>7</v>
      </c>
      <c r="B836" s="24" t="str">
        <f>"// MPU Region "&amp;A836&amp;" ********************************"</f>
        <v>// MPU Region 7 ********************************</v>
      </c>
    </row>
    <row r="837" spans="1:2" x14ac:dyDescent="0.25">
      <c r="A837" s="2">
        <f>A725+19</f>
        <v>140</v>
      </c>
      <c r="B837" s="24" t="str">
        <f>"// &lt;e&gt;Configure MPU Region "&amp;A836</f>
        <v>// &lt;e&gt;Configure MPU Region 7</v>
      </c>
    </row>
    <row r="838" spans="1:2" x14ac:dyDescent="0.25">
      <c r="B838" s="24" t="s">
        <v>186</v>
      </c>
    </row>
    <row r="839" spans="1:2" x14ac:dyDescent="0.25">
      <c r="A839">
        <f>A837</f>
        <v>140</v>
      </c>
      <c r="B839" s="24" t="str">
        <f ca="1">"#define CONFIG_REG"&amp;A836&amp;"   "&amp;N(INDIRECT("CONFIG!A"&amp;A839))</f>
        <v>#define CONFIG_REG7   0</v>
      </c>
    </row>
    <row r="840" spans="1:2" x14ac:dyDescent="0.25">
      <c r="B840" s="24" t="s">
        <v>10</v>
      </c>
    </row>
    <row r="841" spans="1:2" x14ac:dyDescent="0.25">
      <c r="A841">
        <f>A837+1</f>
        <v>141</v>
      </c>
      <c r="B841" s="24" t="str">
        <f ca="1">"#define ENABLE_REG"&amp;A836&amp;"   "&amp;N(INDIRECT("CONFIG!A"&amp;A841))</f>
        <v>#define ENABLE_REG7   1</v>
      </c>
    </row>
    <row r="842" spans="1:2" x14ac:dyDescent="0.25">
      <c r="B842" s="24" t="s">
        <v>11</v>
      </c>
    </row>
    <row r="843" spans="1:2" x14ac:dyDescent="0.25">
      <c r="B843" s="24" t="s">
        <v>12</v>
      </c>
    </row>
    <row r="844" spans="1:2" x14ac:dyDescent="0.25">
      <c r="A844">
        <f>A837+2</f>
        <v>142</v>
      </c>
      <c r="B844" s="24" t="str" cm="1">
        <f t="array" aca="1" ref="B844" ca="1">"#define BASE_REG"&amp;A836&amp;"   "&amp;INDIRECT("CONFIG!A"&amp;A844)</f>
        <v>#define BASE_REG7   00000000</v>
      </c>
    </row>
    <row r="845" spans="1:2" x14ac:dyDescent="0.25">
      <c r="B845" s="24" t="s">
        <v>13</v>
      </c>
    </row>
    <row r="846" spans="1:2" x14ac:dyDescent="0.25">
      <c r="B846" s="24" t="s">
        <v>14</v>
      </c>
    </row>
    <row r="847" spans="1:2" x14ac:dyDescent="0.25">
      <c r="B847" s="24" t="s">
        <v>15</v>
      </c>
    </row>
    <row r="848" spans="1:2" x14ac:dyDescent="0.25">
      <c r="B848" s="24" t="s">
        <v>16</v>
      </c>
    </row>
    <row r="849" spans="2:2" x14ac:dyDescent="0.25">
      <c r="B849" s="24" t="s">
        <v>17</v>
      </c>
    </row>
    <row r="850" spans="2:2" x14ac:dyDescent="0.25">
      <c r="B850" s="24" t="s">
        <v>18</v>
      </c>
    </row>
    <row r="851" spans="2:2" x14ac:dyDescent="0.25">
      <c r="B851" s="24" t="s">
        <v>19</v>
      </c>
    </row>
    <row r="852" spans="2:2" x14ac:dyDescent="0.25">
      <c r="B852" s="24" t="s">
        <v>20</v>
      </c>
    </row>
    <row r="853" spans="2:2" x14ac:dyDescent="0.25">
      <c r="B853" s="24" t="s">
        <v>21</v>
      </c>
    </row>
    <row r="854" spans="2:2" x14ac:dyDescent="0.25">
      <c r="B854" s="24" t="s">
        <v>22</v>
      </c>
    </row>
    <row r="855" spans="2:2" x14ac:dyDescent="0.25">
      <c r="B855" s="24" t="s">
        <v>23</v>
      </c>
    </row>
    <row r="856" spans="2:2" x14ac:dyDescent="0.25">
      <c r="B856" s="24" t="s">
        <v>24</v>
      </c>
    </row>
    <row r="857" spans="2:2" x14ac:dyDescent="0.25">
      <c r="B857" s="24" t="s">
        <v>25</v>
      </c>
    </row>
    <row r="858" spans="2:2" x14ac:dyDescent="0.25">
      <c r="B858" s="24" t="s">
        <v>26</v>
      </c>
    </row>
    <row r="859" spans="2:2" x14ac:dyDescent="0.25">
      <c r="B859" s="24" t="s">
        <v>27</v>
      </c>
    </row>
    <row r="860" spans="2:2" x14ac:dyDescent="0.25">
      <c r="B860" s="24" t="s">
        <v>28</v>
      </c>
    </row>
    <row r="861" spans="2:2" x14ac:dyDescent="0.25">
      <c r="B861" s="24" t="s">
        <v>29</v>
      </c>
    </row>
    <row r="862" spans="2:2" x14ac:dyDescent="0.25">
      <c r="B862" s="24" t="s">
        <v>30</v>
      </c>
    </row>
    <row r="863" spans="2:2" x14ac:dyDescent="0.25">
      <c r="B863" s="24" t="s">
        <v>31</v>
      </c>
    </row>
    <row r="864" spans="2:2" x14ac:dyDescent="0.25">
      <c r="B864" s="24" t="s">
        <v>32</v>
      </c>
    </row>
    <row r="865" spans="1:2" x14ac:dyDescent="0.25">
      <c r="B865" s="24" t="s">
        <v>33</v>
      </c>
    </row>
    <row r="866" spans="1:2" x14ac:dyDescent="0.25">
      <c r="B866" s="24" t="s">
        <v>34</v>
      </c>
    </row>
    <row r="867" spans="1:2" x14ac:dyDescent="0.25">
      <c r="B867" s="24" t="s">
        <v>35</v>
      </c>
    </row>
    <row r="868" spans="1:2" x14ac:dyDescent="0.25">
      <c r="B868" s="24" t="s">
        <v>36</v>
      </c>
    </row>
    <row r="869" spans="1:2" x14ac:dyDescent="0.25">
      <c r="B869" s="24" t="s">
        <v>37</v>
      </c>
    </row>
    <row r="870" spans="1:2" x14ac:dyDescent="0.25">
      <c r="B870" s="24" t="s">
        <v>38</v>
      </c>
    </row>
    <row r="871" spans="1:2" x14ac:dyDescent="0.25">
      <c r="B871" s="24" t="s">
        <v>39</v>
      </c>
    </row>
    <row r="872" spans="1:2" x14ac:dyDescent="0.25">
      <c r="B872" s="24" t="s">
        <v>40</v>
      </c>
    </row>
    <row r="873" spans="1:2" x14ac:dyDescent="0.25">
      <c r="B873" s="24" t="s">
        <v>41</v>
      </c>
    </row>
    <row r="874" spans="1:2" x14ac:dyDescent="0.25">
      <c r="A874">
        <f>A837+3</f>
        <v>143</v>
      </c>
      <c r="B874" s="24" t="str" cm="1">
        <f t="array" aca="1" ref="B874" ca="1">"#define SIZE_REG"&amp;A836&amp;"   "&amp;INDIRECT("CONFIG!A"&amp;A874)+3</f>
        <v>#define SIZE_REG7   4</v>
      </c>
    </row>
    <row r="875" spans="1:2" x14ac:dyDescent="0.25">
      <c r="B875" s="24" t="s">
        <v>42</v>
      </c>
    </row>
    <row r="876" spans="1:2" x14ac:dyDescent="0.25">
      <c r="B876" s="24" t="s">
        <v>43</v>
      </c>
    </row>
    <row r="877" spans="1:2" x14ac:dyDescent="0.25">
      <c r="B877" s="24" t="s">
        <v>44</v>
      </c>
    </row>
    <row r="878" spans="1:2" x14ac:dyDescent="0.25">
      <c r="B878" s="24" t="s">
        <v>45</v>
      </c>
    </row>
    <row r="879" spans="1:2" x14ac:dyDescent="0.25">
      <c r="B879" s="24" t="s">
        <v>46</v>
      </c>
    </row>
    <row r="880" spans="1:2" x14ac:dyDescent="0.25">
      <c r="A880">
        <f>A837+6</f>
        <v>146</v>
      </c>
      <c r="B880" s="24" t="str">
        <f ca="1">"#define SRD_USE_REG"&amp;A836&amp;"  "&amp;N(OR(INDIRECT("CONFIG!A"&amp;A880&amp;":A"&amp;A880+7&amp;"")))</f>
        <v>#define SRD_USE_REG7  0</v>
      </c>
    </row>
    <row r="881" spans="1:2" x14ac:dyDescent="0.25">
      <c r="B881" s="24" t="s">
        <v>47</v>
      </c>
    </row>
    <row r="882" spans="1:2" x14ac:dyDescent="0.25">
      <c r="A882">
        <f>A837+6</f>
        <v>146</v>
      </c>
      <c r="B882" s="24" t="str">
        <f ca="1">"#define SRD0_REG"&amp;A836&amp;"   "&amp;N(INDIRECT("CONFIG!A"&amp;A882))</f>
        <v>#define SRD0_REG7   0</v>
      </c>
    </row>
    <row r="883" spans="1:2" x14ac:dyDescent="0.25">
      <c r="B883" s="24" t="s">
        <v>48</v>
      </c>
    </row>
    <row r="884" spans="1:2" x14ac:dyDescent="0.25">
      <c r="A884">
        <f>A837+7</f>
        <v>147</v>
      </c>
      <c r="B884" s="24" t="str">
        <f ca="1">"#define SRD1_REG"&amp;A836&amp;"   "&amp;N(INDIRECT("CONFIG!A"&amp;A884))*2</f>
        <v>#define SRD1_REG7   0</v>
      </c>
    </row>
    <row r="885" spans="1:2" x14ac:dyDescent="0.25">
      <c r="B885" s="24" t="s">
        <v>49</v>
      </c>
    </row>
    <row r="886" spans="1:2" x14ac:dyDescent="0.25">
      <c r="A886">
        <f>A837+8</f>
        <v>148</v>
      </c>
      <c r="B886" s="24" t="str">
        <f ca="1">"#define SRD2_REG"&amp;A836&amp;"   "&amp;N(INDIRECT("CONFIG!A"&amp;A886))*4</f>
        <v>#define SRD2_REG7   0</v>
      </c>
    </row>
    <row r="887" spans="1:2" x14ac:dyDescent="0.25">
      <c r="B887" s="24" t="s">
        <v>50</v>
      </c>
    </row>
    <row r="888" spans="1:2" x14ac:dyDescent="0.25">
      <c r="A888">
        <f>A837+9</f>
        <v>149</v>
      </c>
      <c r="B888" s="24" t="str">
        <f ca="1">"#define SRD3_REG"&amp;A836&amp;"   "&amp;N(INDIRECT("CONFIG!A"&amp;A888))*8</f>
        <v>#define SRD3_REG7   0</v>
      </c>
    </row>
    <row r="889" spans="1:2" x14ac:dyDescent="0.25">
      <c r="B889" s="24" t="s">
        <v>51</v>
      </c>
    </row>
    <row r="890" spans="1:2" x14ac:dyDescent="0.25">
      <c r="A890">
        <f>A837+10</f>
        <v>150</v>
      </c>
      <c r="B890" s="24" t="str">
        <f ca="1">"#define SRD4_REG"&amp;A836&amp;"   "&amp;N(INDIRECT("CONFIG!A"&amp;A890))*16</f>
        <v>#define SRD4_REG7   0</v>
      </c>
    </row>
    <row r="891" spans="1:2" x14ac:dyDescent="0.25">
      <c r="B891" s="24" t="s">
        <v>52</v>
      </c>
    </row>
    <row r="892" spans="1:2" x14ac:dyDescent="0.25">
      <c r="A892">
        <f>A837+11</f>
        <v>151</v>
      </c>
      <c r="B892" s="24" t="str">
        <f ca="1">"#define SRD5_REG"&amp;A836&amp;"   "&amp;N(INDIRECT("CONFIG!A"&amp;A892))*32</f>
        <v>#define SRD5_REG7   0</v>
      </c>
    </row>
    <row r="893" spans="1:2" x14ac:dyDescent="0.25">
      <c r="B893" s="24" t="s">
        <v>53</v>
      </c>
    </row>
    <row r="894" spans="1:2" x14ac:dyDescent="0.25">
      <c r="A894">
        <f>A837+12</f>
        <v>152</v>
      </c>
      <c r="B894" s="24" t="str">
        <f ca="1">"#define SRD6_REG"&amp;A836&amp;"   "&amp;N(INDIRECT("CONFIG!A"&amp;A894))*64</f>
        <v>#define SRD6_REG7   0</v>
      </c>
    </row>
    <row r="895" spans="1:2" x14ac:dyDescent="0.25">
      <c r="B895" s="24" t="s">
        <v>54</v>
      </c>
    </row>
    <row r="896" spans="1:2" x14ac:dyDescent="0.25">
      <c r="A896">
        <f>A837+13</f>
        <v>153</v>
      </c>
      <c r="B896" s="24" t="str">
        <f ca="1">"#define SRD7_REG"&amp;A836&amp;"   "&amp;N(INDIRECT("CONFIG!A"&amp;A896))*128</f>
        <v>#define SRD7_REG7   0</v>
      </c>
    </row>
    <row r="897" spans="1:2" x14ac:dyDescent="0.25">
      <c r="B897" s="24" t="str">
        <f>"#define SRD_REG"&amp;A836&amp;" ((SRD_USE_REG"&amp;A836&amp;" == 0)?0: (SRD0_REG"&amp;A836&amp;" | SRD1_REG"&amp;A836&amp;" | SRD2_REG"&amp;A836&amp;" | SRD3_REG"&amp;A836&amp;" |\"</f>
        <v>#define SRD_REG7 ((SRD_USE_REG7 == 0)?0: (SRD0_REG7 | SRD1_REG7 | SRD2_REG7 | SRD3_REG7 |\</v>
      </c>
    </row>
    <row r="898" spans="1:2" x14ac:dyDescent="0.25">
      <c r="B898" s="24" t="str">
        <f>"                      SRD4_REG"&amp;A836&amp;" | SRD5_REG"&amp;A836&amp;" | SRD6_REG"&amp;A836&amp;" | SRD7_REG"&amp;A836&amp;" ))"</f>
        <v xml:space="preserve">                      SRD4_REG7 | SRD5_REG7 | SRD6_REG7 | SRD7_REG7 ))</v>
      </c>
    </row>
    <row r="899" spans="1:2" x14ac:dyDescent="0.25">
      <c r="B899" s="24" t="s">
        <v>55</v>
      </c>
    </row>
    <row r="900" spans="1:2" x14ac:dyDescent="0.25">
      <c r="B900" s="24" t="s">
        <v>56</v>
      </c>
    </row>
    <row r="901" spans="1:2" x14ac:dyDescent="0.25">
      <c r="B901" s="24" t="s">
        <v>57</v>
      </c>
    </row>
    <row r="902" spans="1:2" x14ac:dyDescent="0.25">
      <c r="B902" s="24" t="s">
        <v>58</v>
      </c>
    </row>
    <row r="903" spans="1:2" x14ac:dyDescent="0.25">
      <c r="B903" s="24" t="s">
        <v>59</v>
      </c>
    </row>
    <row r="904" spans="1:2" x14ac:dyDescent="0.25">
      <c r="B904" s="24" t="s">
        <v>60</v>
      </c>
    </row>
    <row r="905" spans="1:2" x14ac:dyDescent="0.25">
      <c r="B905" s="24" t="s">
        <v>61</v>
      </c>
    </row>
    <row r="906" spans="1:2" x14ac:dyDescent="0.25">
      <c r="B906" s="24" t="s">
        <v>62</v>
      </c>
    </row>
    <row r="907" spans="1:2" x14ac:dyDescent="0.25">
      <c r="A907">
        <f>A837+14</f>
        <v>154</v>
      </c>
      <c r="B907" s="24" t="str" cm="1">
        <f t="array" aca="1" ref="B907" ca="1">"#define PERM_REG"&amp;A836&amp;"   "&amp;INDIRECT("CONFIG!A"&amp;A907)-IF(INDIRECT("CONFIG!A"&amp;A907)&lt;6,1,0)</f>
        <v>#define PERM_REG7   0</v>
      </c>
    </row>
    <row r="908" spans="1:2" x14ac:dyDescent="0.25">
      <c r="B908" s="24" t="s">
        <v>63</v>
      </c>
    </row>
    <row r="909" spans="1:2" x14ac:dyDescent="0.25">
      <c r="A909">
        <f>A837+15</f>
        <v>155</v>
      </c>
      <c r="B909" s="24" t="str">
        <f ca="1">"#define XN_REG"&amp;A836&amp;"   "&amp;N(INDIRECT("CONFIG!A"&amp;A909))</f>
        <v>#define XN_REG7   0</v>
      </c>
    </row>
    <row r="910" spans="1:2" x14ac:dyDescent="0.25">
      <c r="B910" s="24" t="s">
        <v>259</v>
      </c>
    </row>
    <row r="911" spans="1:2" x14ac:dyDescent="0.25">
      <c r="B911" s="24" t="s">
        <v>64</v>
      </c>
    </row>
    <row r="912" spans="1:2" x14ac:dyDescent="0.25">
      <c r="A912">
        <f>A837+16</f>
        <v>156</v>
      </c>
      <c r="B912" s="24" t="str">
        <f ca="1">"#define SHARE_REG"&amp;A836&amp;"   "&amp;"("&amp;N(INDIRECT("CONFIG!A"&amp;A912))&amp;"&lt;&lt;MPU_RASR_S_Pos)"</f>
        <v>#define SHARE_REG7   (1&lt;&lt;MPU_RASR_S_Pos)</v>
      </c>
    </row>
    <row r="913" spans="2:2" x14ac:dyDescent="0.25">
      <c r="B913" s="24" t="s">
        <v>65</v>
      </c>
    </row>
    <row r="914" spans="2:2" x14ac:dyDescent="0.25">
      <c r="B914" s="24" t="s">
        <v>66</v>
      </c>
    </row>
    <row r="915" spans="2:2" x14ac:dyDescent="0.25">
      <c r="B915" s="24" t="s">
        <v>67</v>
      </c>
    </row>
    <row r="916" spans="2:2" x14ac:dyDescent="0.25">
      <c r="B916" s="24" t="s">
        <v>68</v>
      </c>
    </row>
    <row r="917" spans="2:2" x14ac:dyDescent="0.25">
      <c r="B917" s="24" t="s">
        <v>69</v>
      </c>
    </row>
    <row r="918" spans="2:2" x14ac:dyDescent="0.25">
      <c r="B918" s="24" t="s">
        <v>70</v>
      </c>
    </row>
    <row r="919" spans="2:2" x14ac:dyDescent="0.25">
      <c r="B919" s="24" t="s">
        <v>71</v>
      </c>
    </row>
    <row r="920" spans="2:2" x14ac:dyDescent="0.25">
      <c r="B920" s="24" t="s">
        <v>72</v>
      </c>
    </row>
    <row r="921" spans="2:2" x14ac:dyDescent="0.25">
      <c r="B921" s="24" t="s">
        <v>73</v>
      </c>
    </row>
    <row r="922" spans="2:2" x14ac:dyDescent="0.25">
      <c r="B922" s="24" t="s">
        <v>74</v>
      </c>
    </row>
    <row r="923" spans="2:2" x14ac:dyDescent="0.25">
      <c r="B923" s="24" t="s">
        <v>75</v>
      </c>
    </row>
    <row r="924" spans="2:2" x14ac:dyDescent="0.25">
      <c r="B924" s="24" t="s">
        <v>76</v>
      </c>
    </row>
    <row r="925" spans="2:2" x14ac:dyDescent="0.25">
      <c r="B925" s="24" t="s">
        <v>77</v>
      </c>
    </row>
    <row r="926" spans="2:2" x14ac:dyDescent="0.25">
      <c r="B926" s="24" t="s">
        <v>78</v>
      </c>
    </row>
    <row r="927" spans="2:2" x14ac:dyDescent="0.25">
      <c r="B927" s="24" t="s">
        <v>79</v>
      </c>
    </row>
    <row r="928" spans="2:2" x14ac:dyDescent="0.25">
      <c r="B928" s="24" t="s">
        <v>80</v>
      </c>
    </row>
    <row r="929" spans="1:2" x14ac:dyDescent="0.25">
      <c r="B929" s="24" t="s">
        <v>81</v>
      </c>
    </row>
    <row r="930" spans="1:2" x14ac:dyDescent="0.25">
      <c r="B930" s="24" t="s">
        <v>82</v>
      </c>
    </row>
    <row r="931" spans="1:2" x14ac:dyDescent="0.25">
      <c r="B931" s="24" t="s">
        <v>83</v>
      </c>
    </row>
    <row r="932" spans="1:2" x14ac:dyDescent="0.25">
      <c r="B932" s="24" t="s">
        <v>84</v>
      </c>
    </row>
    <row r="933" spans="1:2" x14ac:dyDescent="0.25">
      <c r="B933" s="24" t="s">
        <v>85</v>
      </c>
    </row>
    <row r="934" spans="1:2" x14ac:dyDescent="0.25">
      <c r="B934" s="24" t="s">
        <v>86</v>
      </c>
    </row>
    <row r="935" spans="1:2" x14ac:dyDescent="0.25">
      <c r="B935" s="24" t="s">
        <v>87</v>
      </c>
    </row>
    <row r="936" spans="1:2" x14ac:dyDescent="0.25">
      <c r="B936" s="24" t="s">
        <v>88</v>
      </c>
    </row>
    <row r="937" spans="1:2" x14ac:dyDescent="0.25">
      <c r="B937" s="24" t="s">
        <v>89</v>
      </c>
    </row>
    <row r="938" spans="1:2" x14ac:dyDescent="0.25">
      <c r="B938" s="24" t="s">
        <v>90</v>
      </c>
    </row>
    <row r="939" spans="1:2" x14ac:dyDescent="0.25">
      <c r="B939" s="24" t="s">
        <v>91</v>
      </c>
    </row>
    <row r="940" spans="1:2" x14ac:dyDescent="0.25">
      <c r="B940" s="24" t="s">
        <v>92</v>
      </c>
    </row>
    <row r="941" spans="1:2" x14ac:dyDescent="0.25">
      <c r="B941" s="24" t="s">
        <v>93</v>
      </c>
    </row>
    <row r="942" spans="1:2" x14ac:dyDescent="0.25">
      <c r="B942" s="24" t="s">
        <v>94</v>
      </c>
    </row>
    <row r="943" spans="1:2" x14ac:dyDescent="0.25">
      <c r="B943" s="24" t="s">
        <v>95</v>
      </c>
    </row>
    <row r="944" spans="1:2" x14ac:dyDescent="0.25">
      <c r="A944">
        <f>A837+17</f>
        <v>157</v>
      </c>
      <c r="B944" s="24" t="str" cm="1">
        <f t="array" aca="1" ref="B944" ca="1">"#define ACCESS_REG"&amp;A836&amp;"   "&amp;MID(INDIRECT("B"&amp;INDIRECT("CONFIG!A"&amp;A944)+129),13,8)</f>
        <v>#define ACCESS_REG7   0x020000</v>
      </c>
    </row>
    <row r="945" spans="2:2" x14ac:dyDescent="0.25">
      <c r="B945" s="24" t="str">
        <f>"#define TEXSCB_REG"&amp;A836&amp;" (ACCESS_REG"&amp;A836&amp;" | SHARE_REG"&amp;A836&amp;")"</f>
        <v>#define TEXSCB_REG7 (ACCESS_REG7 | SHARE_REG7)</v>
      </c>
    </row>
    <row r="946" spans="2:2" x14ac:dyDescent="0.25">
      <c r="B946" s="24" t="str">
        <f>"//   &lt;/e&gt;   //MPU Region "&amp;A836&amp;" ********************************"</f>
        <v>//   &lt;/e&gt;   //MPU Region 7 ********************************</v>
      </c>
    </row>
    <row r="947" spans="2:2" x14ac:dyDescent="0.25">
      <c r="B947" s="24"/>
    </row>
    <row r="948" spans="2:2" x14ac:dyDescent="0.25">
      <c r="B948" s="24" t="s">
        <v>0</v>
      </c>
    </row>
    <row r="949" spans="2:2" x14ac:dyDescent="0.25">
      <c r="B949" s="24" t="s">
        <v>236</v>
      </c>
    </row>
    <row r="950" spans="2:2" x14ac:dyDescent="0.25">
      <c r="B950" s="24" t="s">
        <v>0</v>
      </c>
    </row>
    <row r="951" spans="2:2" x14ac:dyDescent="0.25">
      <c r="B951" s="24" t="s">
        <v>204</v>
      </c>
    </row>
    <row r="952" spans="2:2" x14ac:dyDescent="0.25">
      <c r="B952" s="24" t="s">
        <v>195</v>
      </c>
    </row>
    <row r="953" spans="2:2" x14ac:dyDescent="0.25">
      <c r="B953" s="24" t="s">
        <v>222</v>
      </c>
    </row>
    <row r="954" spans="2:2" x14ac:dyDescent="0.25">
      <c r="B954" s="24" t="s">
        <v>231</v>
      </c>
    </row>
    <row r="955" spans="2:2" x14ac:dyDescent="0.25">
      <c r="B955" s="24" t="s">
        <v>254</v>
      </c>
    </row>
    <row r="956" spans="2:2" x14ac:dyDescent="0.25">
      <c r="B956" s="24"/>
    </row>
    <row r="957" spans="2:2" x14ac:dyDescent="0.25">
      <c r="B957" s="24" t="s">
        <v>205</v>
      </c>
    </row>
    <row r="958" spans="2:2" x14ac:dyDescent="0.25">
      <c r="B958" s="24" t="s">
        <v>235</v>
      </c>
    </row>
    <row r="959" spans="2:2" x14ac:dyDescent="0.25">
      <c r="B959" s="24" t="s">
        <v>233</v>
      </c>
    </row>
    <row r="960" spans="2:2" x14ac:dyDescent="0.25">
      <c r="B960" s="24" t="s">
        <v>196</v>
      </c>
    </row>
    <row r="961" spans="2:2" x14ac:dyDescent="0.25">
      <c r="B961" s="24" t="s">
        <v>197</v>
      </c>
    </row>
    <row r="962" spans="2:2" x14ac:dyDescent="0.25">
      <c r="B962" s="24" t="s">
        <v>223</v>
      </c>
    </row>
    <row r="963" spans="2:2" x14ac:dyDescent="0.25">
      <c r="B963" s="24" t="s">
        <v>206</v>
      </c>
    </row>
    <row r="964" spans="2:2" x14ac:dyDescent="0.25">
      <c r="B964" s="24" t="s">
        <v>198</v>
      </c>
    </row>
    <row r="965" spans="2:2" x14ac:dyDescent="0.25">
      <c r="B965" s="24" t="s">
        <v>224</v>
      </c>
    </row>
    <row r="966" spans="2:2" x14ac:dyDescent="0.25">
      <c r="B966" s="24" t="s">
        <v>207</v>
      </c>
    </row>
    <row r="967" spans="2:2" x14ac:dyDescent="0.25">
      <c r="B967" s="24" t="s">
        <v>198</v>
      </c>
    </row>
    <row r="968" spans="2:2" x14ac:dyDescent="0.25">
      <c r="B968" s="24" t="s">
        <v>225</v>
      </c>
    </row>
    <row r="969" spans="2:2" x14ac:dyDescent="0.25">
      <c r="B969" s="24" t="s">
        <v>208</v>
      </c>
    </row>
    <row r="970" spans="2:2" x14ac:dyDescent="0.25">
      <c r="B970" s="24" t="s">
        <v>198</v>
      </c>
    </row>
    <row r="971" spans="2:2" x14ac:dyDescent="0.25">
      <c r="B971" s="24" t="s">
        <v>226</v>
      </c>
    </row>
    <row r="972" spans="2:2" x14ac:dyDescent="0.25">
      <c r="B972" s="24" t="s">
        <v>209</v>
      </c>
    </row>
    <row r="973" spans="2:2" x14ac:dyDescent="0.25">
      <c r="B973" s="24" t="s">
        <v>198</v>
      </c>
    </row>
    <row r="974" spans="2:2" x14ac:dyDescent="0.25">
      <c r="B974" s="24" t="s">
        <v>227</v>
      </c>
    </row>
    <row r="975" spans="2:2" x14ac:dyDescent="0.25">
      <c r="B975" s="24" t="s">
        <v>210</v>
      </c>
    </row>
    <row r="976" spans="2:2" x14ac:dyDescent="0.25">
      <c r="B976" s="24" t="s">
        <v>198</v>
      </c>
    </row>
    <row r="977" spans="2:2" x14ac:dyDescent="0.25">
      <c r="B977" s="24" t="s">
        <v>228</v>
      </c>
    </row>
    <row r="978" spans="2:2" x14ac:dyDescent="0.25">
      <c r="B978" s="24" t="s">
        <v>211</v>
      </c>
    </row>
    <row r="979" spans="2:2" x14ac:dyDescent="0.25">
      <c r="B979" s="24" t="s">
        <v>198</v>
      </c>
    </row>
    <row r="980" spans="2:2" x14ac:dyDescent="0.25">
      <c r="B980" s="24" t="s">
        <v>229</v>
      </c>
    </row>
    <row r="981" spans="2:2" x14ac:dyDescent="0.25">
      <c r="B981" s="24" t="s">
        <v>212</v>
      </c>
    </row>
    <row r="982" spans="2:2" x14ac:dyDescent="0.25">
      <c r="B982" s="24" t="s">
        <v>198</v>
      </c>
    </row>
    <row r="983" spans="2:2" x14ac:dyDescent="0.25">
      <c r="B983" s="24" t="s">
        <v>230</v>
      </c>
    </row>
    <row r="984" spans="2:2" x14ac:dyDescent="0.25">
      <c r="B984" s="24" t="s">
        <v>213</v>
      </c>
    </row>
    <row r="985" spans="2:2" x14ac:dyDescent="0.25">
      <c r="B985" s="24" t="s">
        <v>198</v>
      </c>
    </row>
    <row r="986" spans="2:2" x14ac:dyDescent="0.25">
      <c r="B986" s="24" t="s">
        <v>199</v>
      </c>
    </row>
    <row r="987" spans="2:2" x14ac:dyDescent="0.25">
      <c r="B987" s="24" t="s">
        <v>200</v>
      </c>
    </row>
    <row r="988" spans="2:2" x14ac:dyDescent="0.25">
      <c r="B988" s="24" t="s">
        <v>201</v>
      </c>
    </row>
    <row r="989" spans="2:2" x14ac:dyDescent="0.25">
      <c r="B989" s="24" t="s">
        <v>202</v>
      </c>
    </row>
    <row r="990" spans="2:2" x14ac:dyDescent="0.25">
      <c r="B990" s="24" t="s">
        <v>234</v>
      </c>
    </row>
    <row r="991" spans="2:2" x14ac:dyDescent="0.25">
      <c r="B991" s="24"/>
    </row>
    <row r="992" spans="2:2" x14ac:dyDescent="0.25">
      <c r="B992" s="24" t="s">
        <v>255</v>
      </c>
    </row>
    <row r="993" spans="2:2" x14ac:dyDescent="0.25">
      <c r="B993" s="24" t="s">
        <v>257</v>
      </c>
    </row>
    <row r="994" spans="2:2" x14ac:dyDescent="0.25">
      <c r="B994" s="24" t="s">
        <v>182</v>
      </c>
    </row>
    <row r="995" spans="2:2" x14ac:dyDescent="0.25">
      <c r="B995" s="25"/>
    </row>
    <row r="996" spans="2:2" x14ac:dyDescent="0.25">
      <c r="B996" s="24" t="s">
        <v>203</v>
      </c>
    </row>
    <row r="997" spans="2:2" x14ac:dyDescent="0.25">
      <c r="B997" s="24"/>
    </row>
  </sheetData>
  <sheetProtection selectLockedCell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86E64-C67A-4FA5-AC88-581431612D44}">
  <dimension ref="A1:B287"/>
  <sheetViews>
    <sheetView topLeftCell="B1" zoomScale="160" zoomScaleNormal="160" workbookViewId="0">
      <selection activeCell="B1" sqref="B1"/>
    </sheetView>
  </sheetViews>
  <sheetFormatPr baseColWidth="10" defaultRowHeight="15" x14ac:dyDescent="0.25"/>
  <cols>
    <col min="1" max="1" width="4" hidden="1" customWidth="1"/>
    <col min="2" max="2" width="122.5703125" bestFit="1" customWidth="1"/>
  </cols>
  <sheetData>
    <row r="1" spans="2:2" x14ac:dyDescent="0.25">
      <c r="B1" s="24" t="s">
        <v>170</v>
      </c>
    </row>
    <row r="2" spans="2:2" x14ac:dyDescent="0.25">
      <c r="B2" s="24" t="s">
        <v>250</v>
      </c>
    </row>
    <row r="3" spans="2:2" x14ac:dyDescent="0.25">
      <c r="B3" s="24" t="s">
        <v>171</v>
      </c>
    </row>
    <row r="4" spans="2:2" x14ac:dyDescent="0.25">
      <c r="B4" s="24" t="s">
        <v>252</v>
      </c>
    </row>
    <row r="5" spans="2:2" x14ac:dyDescent="0.25">
      <c r="B5" s="24" t="s">
        <v>253</v>
      </c>
    </row>
    <row r="6" spans="2:2" x14ac:dyDescent="0.25">
      <c r="B6" s="24" t="s">
        <v>172</v>
      </c>
    </row>
    <row r="7" spans="2:2" x14ac:dyDescent="0.25">
      <c r="B7" s="24" t="s">
        <v>173</v>
      </c>
    </row>
    <row r="8" spans="2:2" x14ac:dyDescent="0.25">
      <c r="B8" s="24" t="s">
        <v>261</v>
      </c>
    </row>
    <row r="9" spans="2:2" x14ac:dyDescent="0.25">
      <c r="B9" s="24" t="s">
        <v>262</v>
      </c>
    </row>
    <row r="10" spans="2:2" x14ac:dyDescent="0.25">
      <c r="B10" s="24" t="s">
        <v>263</v>
      </c>
    </row>
    <row r="11" spans="2:2" x14ac:dyDescent="0.25">
      <c r="B11" s="24" t="s">
        <v>264</v>
      </c>
    </row>
    <row r="12" spans="2:2" x14ac:dyDescent="0.25">
      <c r="B12" s="24" t="s">
        <v>265</v>
      </c>
    </row>
    <row r="13" spans="2:2" x14ac:dyDescent="0.25">
      <c r="B13" s="24" t="s">
        <v>266</v>
      </c>
    </row>
    <row r="14" spans="2:2" x14ac:dyDescent="0.25">
      <c r="B14" s="24" t="s">
        <v>267</v>
      </c>
    </row>
    <row r="15" spans="2:2" x14ac:dyDescent="0.25">
      <c r="B15" s="24" t="s">
        <v>268</v>
      </c>
    </row>
    <row r="16" spans="2:2" x14ac:dyDescent="0.25">
      <c r="B16" s="24" t="s">
        <v>174</v>
      </c>
    </row>
    <row r="17" spans="2:2" x14ac:dyDescent="0.25">
      <c r="B17" s="24" t="s">
        <v>175</v>
      </c>
    </row>
    <row r="18" spans="2:2" x14ac:dyDescent="0.25">
      <c r="B18" s="24" t="s">
        <v>176</v>
      </c>
    </row>
    <row r="19" spans="2:2" x14ac:dyDescent="0.25">
      <c r="B19" s="24"/>
    </row>
    <row r="20" spans="2:2" x14ac:dyDescent="0.25">
      <c r="B20" s="24" t="s">
        <v>255</v>
      </c>
    </row>
    <row r="21" spans="2:2" x14ac:dyDescent="0.25">
      <c r="B21" s="24" t="s">
        <v>256</v>
      </c>
    </row>
    <row r="22" spans="2:2" x14ac:dyDescent="0.25">
      <c r="B22" s="24" t="s">
        <v>182</v>
      </c>
    </row>
    <row r="23" spans="2:2" x14ac:dyDescent="0.25">
      <c r="B23" s="24"/>
    </row>
    <row r="24" spans="2:2" x14ac:dyDescent="0.25">
      <c r="B24" s="24" t="s">
        <v>177</v>
      </c>
    </row>
    <row r="25" spans="2:2" x14ac:dyDescent="0.25">
      <c r="B25" s="24" t="s">
        <v>178</v>
      </c>
    </row>
    <row r="26" spans="2:2" x14ac:dyDescent="0.25">
      <c r="B26" s="24" t="s">
        <v>179</v>
      </c>
    </row>
    <row r="27" spans="2:2" x14ac:dyDescent="0.25">
      <c r="B27" s="24" t="s">
        <v>180</v>
      </c>
    </row>
    <row r="28" spans="2:2" x14ac:dyDescent="0.25">
      <c r="B28" s="24" t="s">
        <v>181</v>
      </c>
    </row>
    <row r="29" spans="2:2" x14ac:dyDescent="0.25">
      <c r="B29" s="24" t="s">
        <v>182</v>
      </c>
    </row>
    <row r="30" spans="2:2" x14ac:dyDescent="0.25">
      <c r="B30" s="24"/>
    </row>
    <row r="31" spans="2:2" x14ac:dyDescent="0.25">
      <c r="B31" s="24" t="s">
        <v>0</v>
      </c>
    </row>
    <row r="32" spans="2:2" x14ac:dyDescent="0.25">
      <c r="B32" s="24" t="s">
        <v>217</v>
      </c>
    </row>
    <row r="33" spans="1:2" x14ac:dyDescent="0.25">
      <c r="B33" s="24" t="s">
        <v>0</v>
      </c>
    </row>
    <row r="34" spans="1:2" x14ac:dyDescent="0.25">
      <c r="B34" s="24"/>
    </row>
    <row r="35" spans="1:2" x14ac:dyDescent="0.25">
      <c r="B35" s="24" t="s">
        <v>218</v>
      </c>
    </row>
    <row r="36" spans="1:2" x14ac:dyDescent="0.25">
      <c r="B36" s="24" t="str">
        <f>"#define MPU_INIT_CTRL_ENABLE   "&amp;IF(CONFIG!A3,"1","0")</f>
        <v>#define MPU_INIT_CTRL_ENABLE   0</v>
      </c>
    </row>
    <row r="37" spans="1:2" x14ac:dyDescent="0.25">
      <c r="B37" s="24" t="str">
        <f>"#define MPU_INIT_CTRL_PRIVDEFENA  "&amp;IF(CONFIG!A4,"0x00000004","0x00000000")</f>
        <v>#define MPU_INIT_CTRL_PRIVDEFENA  0x00000004</v>
      </c>
    </row>
    <row r="38" spans="1:2" x14ac:dyDescent="0.25">
      <c r="B38" s="24" t="str">
        <f>"#define MPU_INIT_CTRL_HFNMIENA  "&amp;IF(CONFIG!A5,"0x00000002","0x00000000")</f>
        <v>#define MPU_INIT_CTRL_HFNMIENA  0x00000000</v>
      </c>
    </row>
    <row r="39" spans="1:2" x14ac:dyDescent="0.25">
      <c r="B39" s="24" t="s">
        <v>8</v>
      </c>
    </row>
    <row r="40" spans="1:2" x14ac:dyDescent="0.25">
      <c r="B40" s="24"/>
    </row>
    <row r="41" spans="1:2" x14ac:dyDescent="0.25">
      <c r="A41" s="2">
        <v>0</v>
      </c>
      <c r="B41" s="24" t="str">
        <f>"// MPU Region "&amp;A41&amp;" ********************************"</f>
        <v>// MPU Region 0 ********************************</v>
      </c>
    </row>
    <row r="42" spans="1:2" x14ac:dyDescent="0.25">
      <c r="A42" s="2">
        <v>7</v>
      </c>
      <c r="B42" s="24" t="str">
        <f ca="1">"#define CONFIG_REG"&amp;A41&amp;"   "&amp;N(INDIRECT("CONFIG!A"&amp;A42))</f>
        <v>#define CONFIG_REG0   1</v>
      </c>
    </row>
    <row r="43" spans="1:2" x14ac:dyDescent="0.25">
      <c r="A43">
        <f>A42+1</f>
        <v>8</v>
      </c>
      <c r="B43" s="24" t="str">
        <f ca="1">"#define ENABLE_REG"&amp;A41&amp;"   "&amp;N(INDIRECT("CONFIG!A"&amp;A43))</f>
        <v>#define ENABLE_REG0   0</v>
      </c>
    </row>
    <row r="44" spans="1:2" x14ac:dyDescent="0.25">
      <c r="A44">
        <f>A42+2</f>
        <v>9</v>
      </c>
      <c r="B44" s="24" t="str" cm="1">
        <f t="array" aca="1" ref="B44" ca="1">"#define BASE_REG"&amp;A41&amp;"   "&amp;INDIRECT("CONFIG!A"&amp;A44)</f>
        <v>#define BASE_REG0   20000000</v>
      </c>
    </row>
    <row r="45" spans="1:2" x14ac:dyDescent="0.25">
      <c r="A45">
        <f>A42+3</f>
        <v>10</v>
      </c>
      <c r="B45" s="24" t="str" cm="1">
        <f t="array" aca="1" ref="B45" ca="1">"#define SIZE_REG"&amp;A41&amp;"   "&amp;INDIRECT("CONFIG!A"&amp;A45)+3</f>
        <v>#define SIZE_REG0   7</v>
      </c>
    </row>
    <row r="46" spans="1:2" x14ac:dyDescent="0.25">
      <c r="A46">
        <f>A42+6</f>
        <v>13</v>
      </c>
      <c r="B46" s="24" t="str">
        <f ca="1">"#define SRD0_REG"&amp;A41&amp;"   "&amp;N(INDIRECT("CONFIG!A"&amp;A46))</f>
        <v>#define SRD0_REG0   0</v>
      </c>
    </row>
    <row r="47" spans="1:2" x14ac:dyDescent="0.25">
      <c r="A47">
        <f>A42+7</f>
        <v>14</v>
      </c>
      <c r="B47" s="24" t="str">
        <f ca="1">"#define SRD1_REG"&amp;A41&amp;"   "&amp;N(INDIRECT("CONFIG!A"&amp;A47))*2</f>
        <v>#define SRD1_REG0   0</v>
      </c>
    </row>
    <row r="48" spans="1:2" x14ac:dyDescent="0.25">
      <c r="A48">
        <f>A42+8</f>
        <v>15</v>
      </c>
      <c r="B48" s="24" t="str">
        <f ca="1">"#define SRD2_REG"&amp;A41&amp;"   "&amp;N(INDIRECT("CONFIG!A"&amp;A48))*4</f>
        <v>#define SRD2_REG0   0</v>
      </c>
    </row>
    <row r="49" spans="1:2" x14ac:dyDescent="0.25">
      <c r="A49">
        <f>A42+9</f>
        <v>16</v>
      </c>
      <c r="B49" s="24" t="str">
        <f ca="1">"#define SRD3_REG"&amp;A41&amp;"   "&amp;N(INDIRECT("CONFIG!A"&amp;A49))*8</f>
        <v>#define SRD3_REG0   0</v>
      </c>
    </row>
    <row r="50" spans="1:2" x14ac:dyDescent="0.25">
      <c r="A50">
        <f>A42+10</f>
        <v>17</v>
      </c>
      <c r="B50" s="24" t="str">
        <f ca="1">"#define SRD4_REG"&amp;A41&amp;"   "&amp;N(INDIRECT("CONFIG!A"&amp;A50))*16</f>
        <v>#define SRD4_REG0   0</v>
      </c>
    </row>
    <row r="51" spans="1:2" x14ac:dyDescent="0.25">
      <c r="A51">
        <f>A42+11</f>
        <v>18</v>
      </c>
      <c r="B51" s="24" t="str">
        <f ca="1">"#define SRD5_REG"&amp;A41&amp;"   "&amp;N(INDIRECT("CONFIG!A"&amp;A51))*32</f>
        <v>#define SRD5_REG0   32</v>
      </c>
    </row>
    <row r="52" spans="1:2" x14ac:dyDescent="0.25">
      <c r="A52">
        <f>A42+12</f>
        <v>19</v>
      </c>
      <c r="B52" s="24" t="str">
        <f ca="1">"#define SRD6_REG"&amp;A41&amp;"   "&amp;N(INDIRECT("CONFIG!A"&amp;A52))*64</f>
        <v>#define SRD6_REG0   0</v>
      </c>
    </row>
    <row r="53" spans="1:2" x14ac:dyDescent="0.25">
      <c r="A53">
        <f>A42+13</f>
        <v>20</v>
      </c>
      <c r="B53" s="24" t="str">
        <f ca="1">"#define SRD7_REG"&amp;A41&amp;"   "&amp;N(INDIRECT("CONFIG!A"&amp;A53))*128</f>
        <v>#define SRD7_REG0   0</v>
      </c>
    </row>
    <row r="54" spans="1:2" x14ac:dyDescent="0.25">
      <c r="B54" s="24" t="str">
        <f>"#define SRD_REG"&amp;A41&amp;" (SRD0_REG"&amp;A41&amp;" | SRD1_REG"&amp;A41&amp;" | SRD2_REG"&amp;A41&amp;" | SRD3_REG"&amp;A41&amp;" |\"</f>
        <v>#define SRD_REG0 (SRD0_REG0 | SRD1_REG0 | SRD2_REG0 | SRD3_REG0 |\</v>
      </c>
    </row>
    <row r="55" spans="1:2" x14ac:dyDescent="0.25">
      <c r="B55" s="24" t="str">
        <f>"                      SRD4_REG"&amp;A41&amp;" | SRD5_REG"&amp;A41&amp;" | SRD6_REG"&amp;A41&amp;" | SRD7_REG"&amp;A41&amp;")"</f>
        <v xml:space="preserve">                      SRD4_REG0 | SRD5_REG0 | SRD6_REG0 | SRD7_REG0)</v>
      </c>
    </row>
    <row r="56" spans="1:2" x14ac:dyDescent="0.25">
      <c r="A56">
        <f>A42+14</f>
        <v>21</v>
      </c>
      <c r="B56" s="24" t="str" cm="1">
        <f t="array" aca="1" ref="B56" ca="1">"#define PERM_REG"&amp;A41&amp;"   "&amp;INDIRECT("CONFIG!A"&amp;A56)-IF(INDIRECT("CONFIG!A"&amp;A56)&lt;6,1,0)</f>
        <v>#define PERM_REG0   2</v>
      </c>
    </row>
    <row r="57" spans="1:2" x14ac:dyDescent="0.25">
      <c r="A57">
        <f>A42+15</f>
        <v>22</v>
      </c>
      <c r="B57" s="24" t="str">
        <f ca="1">"#define XN_REG"&amp;A41&amp;"   "&amp;N(INDIRECT("CONFIG!A"&amp;A57))</f>
        <v>#define XN_REG0   1</v>
      </c>
    </row>
    <row r="58" spans="1:2" x14ac:dyDescent="0.25">
      <c r="A58">
        <f>A42+16</f>
        <v>23</v>
      </c>
      <c r="B58" s="24" t="str">
        <f ca="1">"#define SHARE_REG"&amp;A41&amp;"   ("&amp;N(INDIRECT("CONFIG!A"&amp;A58))&amp;"&lt;&lt;MPU_RASR_S_Pos)"</f>
        <v>#define SHARE_REG0   (1&lt;&lt;MPU_RASR_S_Pos)</v>
      </c>
    </row>
    <row r="59" spans="1:2" x14ac:dyDescent="0.25">
      <c r="A59">
        <f>A42+17</f>
        <v>24</v>
      </c>
      <c r="B59" s="24" t="str" cm="1">
        <f t="array" aca="1" ref="B59" ca="1">"#define ACCESS_REG"&amp;A41&amp;"   "&amp;MID(INDIRECT("B"&amp;INDIRECT("CONFIG!A"&amp;A59)+258),13,8)</f>
        <v>#define ACCESS_REG0   0x020000</v>
      </c>
    </row>
    <row r="60" spans="1:2" x14ac:dyDescent="0.25">
      <c r="B60" s="24" t="str">
        <f>"#define TEXSCB_REG"&amp;A41&amp;" (ACCESS_REG"&amp;A41&amp;" | SHARE_REG"&amp;A41&amp;")"</f>
        <v>#define TEXSCB_REG0 (ACCESS_REG0 | SHARE_REG0)</v>
      </c>
    </row>
    <row r="61" spans="1:2" x14ac:dyDescent="0.25">
      <c r="B61" s="24"/>
    </row>
    <row r="62" spans="1:2" x14ac:dyDescent="0.25">
      <c r="A62" s="2">
        <f>A41+1</f>
        <v>1</v>
      </c>
      <c r="B62" s="24" t="str">
        <f>"// MPU Region "&amp;A62&amp;" ********************************"</f>
        <v>// MPU Region 1 ********************************</v>
      </c>
    </row>
    <row r="63" spans="1:2" x14ac:dyDescent="0.25">
      <c r="A63" s="2">
        <f>A42+19</f>
        <v>26</v>
      </c>
      <c r="B63" s="24" t="str">
        <f ca="1">"#define CONFIG_REG"&amp;A62&amp;"   "&amp;N(INDIRECT("CONFIG!A"&amp;A63))</f>
        <v>#define CONFIG_REG1   0</v>
      </c>
    </row>
    <row r="64" spans="1:2" x14ac:dyDescent="0.25">
      <c r="A64">
        <f>A63+1</f>
        <v>27</v>
      </c>
      <c r="B64" s="24" t="str">
        <f ca="1">"#define ENABLE_REG"&amp;A62&amp;"   "&amp;N(INDIRECT("CONFIG!A"&amp;A64))</f>
        <v>#define ENABLE_REG1   1</v>
      </c>
    </row>
    <row r="65" spans="1:2" x14ac:dyDescent="0.25">
      <c r="A65">
        <f>A63+2</f>
        <v>28</v>
      </c>
      <c r="B65" s="24" t="str" cm="1">
        <f t="array" aca="1" ref="B65" ca="1">"#define BASE_REG"&amp;A62&amp;"   "&amp;INDIRECT("CONFIG!A"&amp;A65)</f>
        <v>#define BASE_REG1   00000000</v>
      </c>
    </row>
    <row r="66" spans="1:2" x14ac:dyDescent="0.25">
      <c r="A66">
        <f>A63+3</f>
        <v>29</v>
      </c>
      <c r="B66" s="24" t="str" cm="1">
        <f t="array" aca="1" ref="B66" ca="1">"#define SIZE_REG"&amp;A62&amp;"   "&amp;INDIRECT("CONFIG!A"&amp;A66)+3</f>
        <v>#define SIZE_REG1   4</v>
      </c>
    </row>
    <row r="67" spans="1:2" x14ac:dyDescent="0.25">
      <c r="A67">
        <f>A63+6</f>
        <v>32</v>
      </c>
      <c r="B67" s="24" t="str">
        <f ca="1">"#define SRD0_REG"&amp;A62&amp;"   "&amp;N(INDIRECT("CONFIG!A"&amp;A67))</f>
        <v>#define SRD0_REG1   0</v>
      </c>
    </row>
    <row r="68" spans="1:2" x14ac:dyDescent="0.25">
      <c r="A68">
        <f>A63+7</f>
        <v>33</v>
      </c>
      <c r="B68" s="24" t="str">
        <f ca="1">"#define SRD1_REG"&amp;A62&amp;"   "&amp;N(INDIRECT("CONFIG!A"&amp;A68))*2</f>
        <v>#define SRD1_REG1   0</v>
      </c>
    </row>
    <row r="69" spans="1:2" x14ac:dyDescent="0.25">
      <c r="A69">
        <f>A63+8</f>
        <v>34</v>
      </c>
      <c r="B69" s="24" t="str">
        <f ca="1">"#define SRD2_REG"&amp;A62&amp;"   "&amp;N(INDIRECT("CONFIG!A"&amp;A69))*4</f>
        <v>#define SRD2_REG1   0</v>
      </c>
    </row>
    <row r="70" spans="1:2" x14ac:dyDescent="0.25">
      <c r="A70">
        <f>A63+9</f>
        <v>35</v>
      </c>
      <c r="B70" s="24" t="str">
        <f ca="1">"#define SRD3_REG"&amp;A62&amp;"   "&amp;N(INDIRECT("CONFIG!A"&amp;A70))*8</f>
        <v>#define SRD3_REG1   0</v>
      </c>
    </row>
    <row r="71" spans="1:2" x14ac:dyDescent="0.25">
      <c r="A71">
        <f>A63+10</f>
        <v>36</v>
      </c>
      <c r="B71" s="24" t="str">
        <f ca="1">"#define SRD4_REG"&amp;A62&amp;"   "&amp;N(INDIRECT("CONFIG!A"&amp;A71))*16</f>
        <v>#define SRD4_REG1   0</v>
      </c>
    </row>
    <row r="72" spans="1:2" x14ac:dyDescent="0.25">
      <c r="A72">
        <f>A63+11</f>
        <v>37</v>
      </c>
      <c r="B72" s="24" t="str">
        <f ca="1">"#define SRD5_REG"&amp;A62&amp;"   "&amp;N(INDIRECT("CONFIG!A"&amp;A72))*32</f>
        <v>#define SRD5_REG1   0</v>
      </c>
    </row>
    <row r="73" spans="1:2" x14ac:dyDescent="0.25">
      <c r="A73">
        <f>A63+12</f>
        <v>38</v>
      </c>
      <c r="B73" s="24" t="str">
        <f ca="1">"#define SRD6_REG"&amp;A62&amp;"   "&amp;N(INDIRECT("CONFIG!A"&amp;A73))*64</f>
        <v>#define SRD6_REG1   0</v>
      </c>
    </row>
    <row r="74" spans="1:2" x14ac:dyDescent="0.25">
      <c r="A74">
        <f>A63+13</f>
        <v>39</v>
      </c>
      <c r="B74" s="24" t="str">
        <f ca="1">"#define SRD7_REG"&amp;A62&amp;"   "&amp;N(INDIRECT("CONFIG!A"&amp;A74))*128</f>
        <v>#define SRD7_REG1   0</v>
      </c>
    </row>
    <row r="75" spans="1:2" x14ac:dyDescent="0.25">
      <c r="B75" s="24" t="str">
        <f>"#define SRD_REG"&amp;A62&amp;" (SRD0_REG"&amp;A62&amp;" | SRD1_REG"&amp;A62&amp;" | SRD2_REG"&amp;A62&amp;" | SRD3_REG"&amp;A62&amp;" |\"</f>
        <v>#define SRD_REG1 (SRD0_REG1 | SRD1_REG1 | SRD2_REG1 | SRD3_REG1 |\</v>
      </c>
    </row>
    <row r="76" spans="1:2" x14ac:dyDescent="0.25">
      <c r="B76" s="24" t="str">
        <f>"                      SRD4_REG"&amp;A62&amp;" | SRD5_REG"&amp;A62&amp;" | SRD6_REG"&amp;A62&amp;" | SRD7_REG"&amp;A62&amp;")"</f>
        <v xml:space="preserve">                      SRD4_REG1 | SRD5_REG1 | SRD6_REG1 | SRD7_REG1)</v>
      </c>
    </row>
    <row r="77" spans="1:2" x14ac:dyDescent="0.25">
      <c r="A77">
        <f>A63+14</f>
        <v>40</v>
      </c>
      <c r="B77" s="24" t="str" cm="1">
        <f t="array" aca="1" ref="B77" ca="1">"#define PERM_REG"&amp;A62&amp;"   "&amp;INDIRECT("CONFIG!A"&amp;A77)-IF(INDIRECT("CONFIG!A"&amp;A77)&lt;6,1,0)</f>
        <v>#define PERM_REG1   0</v>
      </c>
    </row>
    <row r="78" spans="1:2" x14ac:dyDescent="0.25">
      <c r="A78">
        <f>A63+15</f>
        <v>41</v>
      </c>
      <c r="B78" s="24" t="str">
        <f ca="1">"#define XN_REG"&amp;A62&amp;"   "&amp;N(INDIRECT("CONFIG!A"&amp;A78))</f>
        <v>#define XN_REG1   0</v>
      </c>
    </row>
    <row r="79" spans="1:2" x14ac:dyDescent="0.25">
      <c r="A79">
        <f>A63+16</f>
        <v>42</v>
      </c>
      <c r="B79" s="24" t="str">
        <f ca="1">"#define SHARE_REG"&amp;A62&amp;"   ("&amp;N(INDIRECT("CONFIG!A"&amp;A79))&amp;"&lt;&lt;MPU_RASR_S_Pos)"</f>
        <v>#define SHARE_REG1   (1&lt;&lt;MPU_RASR_S_Pos)</v>
      </c>
    </row>
    <row r="80" spans="1:2" x14ac:dyDescent="0.25">
      <c r="A80">
        <f>A63+17</f>
        <v>43</v>
      </c>
      <c r="B80" s="24" t="str" cm="1">
        <f t="array" aca="1" ref="B80" ca="1">"#define ACCESS_REG"&amp;A62&amp;"   "&amp;MID(INDIRECT("B"&amp;INDIRECT("CONFIG!A"&amp;A80)+258),13,8)</f>
        <v>#define ACCESS_REG1   0x020000</v>
      </c>
    </row>
    <row r="81" spans="1:2" x14ac:dyDescent="0.25">
      <c r="B81" s="24" t="str">
        <f>"#define TEXSCB_REG"&amp;A62&amp;" (ACCESS_REG"&amp;A62&amp;" | SHARE_REG"&amp;A62&amp;")"</f>
        <v>#define TEXSCB_REG1 (ACCESS_REG1 | SHARE_REG1)</v>
      </c>
    </row>
    <row r="82" spans="1:2" x14ac:dyDescent="0.25">
      <c r="B82" s="24"/>
    </row>
    <row r="83" spans="1:2" x14ac:dyDescent="0.25">
      <c r="A83" s="2">
        <f>A62+1</f>
        <v>2</v>
      </c>
      <c r="B83" s="24" t="str">
        <f>"// MPU Region "&amp;A83&amp;" ********************************"</f>
        <v>// MPU Region 2 ********************************</v>
      </c>
    </row>
    <row r="84" spans="1:2" x14ac:dyDescent="0.25">
      <c r="A84" s="2">
        <f>A63+19</f>
        <v>45</v>
      </c>
      <c r="B84" s="24" t="str">
        <f ca="1">"#define CONFIG_REG"&amp;A83&amp;"   "&amp;N(INDIRECT("CONFIG!A"&amp;A84))</f>
        <v>#define CONFIG_REG2   0</v>
      </c>
    </row>
    <row r="85" spans="1:2" x14ac:dyDescent="0.25">
      <c r="A85">
        <f>A84+1</f>
        <v>46</v>
      </c>
      <c r="B85" s="24" t="str">
        <f ca="1">"#define ENABLE_REG"&amp;A83&amp;"   "&amp;N(INDIRECT("CONFIG!A"&amp;A85))</f>
        <v>#define ENABLE_REG2   1</v>
      </c>
    </row>
    <row r="86" spans="1:2" x14ac:dyDescent="0.25">
      <c r="A86">
        <f>A84+2</f>
        <v>47</v>
      </c>
      <c r="B86" s="24" t="str" cm="1">
        <f t="array" aca="1" ref="B86" ca="1">"#define BASE_REG"&amp;A83&amp;"   "&amp;INDIRECT("CONFIG!A"&amp;A86)</f>
        <v>#define BASE_REG2   00000000</v>
      </c>
    </row>
    <row r="87" spans="1:2" x14ac:dyDescent="0.25">
      <c r="A87">
        <f>A84+3</f>
        <v>48</v>
      </c>
      <c r="B87" s="24" t="str" cm="1">
        <f t="array" aca="1" ref="B87" ca="1">"#define SIZE_REG"&amp;A83&amp;"   "&amp;INDIRECT("CONFIG!A"&amp;A87)+3</f>
        <v>#define SIZE_REG2   4</v>
      </c>
    </row>
    <row r="88" spans="1:2" x14ac:dyDescent="0.25">
      <c r="A88">
        <f>A84+6</f>
        <v>51</v>
      </c>
      <c r="B88" s="24" t="str">
        <f ca="1">"#define SRD0_REG"&amp;A83&amp;"   "&amp;N(INDIRECT("CONFIG!A"&amp;A88))</f>
        <v>#define SRD0_REG2   0</v>
      </c>
    </row>
    <row r="89" spans="1:2" x14ac:dyDescent="0.25">
      <c r="A89">
        <f>A84+7</f>
        <v>52</v>
      </c>
      <c r="B89" s="24" t="str">
        <f ca="1">"#define SRD1_REG"&amp;A83&amp;"   "&amp;N(INDIRECT("CONFIG!A"&amp;A89))*2</f>
        <v>#define SRD1_REG2   0</v>
      </c>
    </row>
    <row r="90" spans="1:2" x14ac:dyDescent="0.25">
      <c r="A90">
        <f>A84+8</f>
        <v>53</v>
      </c>
      <c r="B90" s="24" t="str">
        <f ca="1">"#define SRD2_REG"&amp;A83&amp;"   "&amp;N(INDIRECT("CONFIG!A"&amp;A90))*4</f>
        <v>#define SRD2_REG2   0</v>
      </c>
    </row>
    <row r="91" spans="1:2" x14ac:dyDescent="0.25">
      <c r="A91">
        <f>A84+9</f>
        <v>54</v>
      </c>
      <c r="B91" s="24" t="str">
        <f ca="1">"#define SRD3_REG"&amp;A83&amp;"   "&amp;N(INDIRECT("CONFIG!A"&amp;A91))*8</f>
        <v>#define SRD3_REG2   0</v>
      </c>
    </row>
    <row r="92" spans="1:2" x14ac:dyDescent="0.25">
      <c r="A92">
        <f>A84+10</f>
        <v>55</v>
      </c>
      <c r="B92" s="24" t="str">
        <f ca="1">"#define SRD4_REG"&amp;A83&amp;"   "&amp;N(INDIRECT("CONFIG!A"&amp;A92))*16</f>
        <v>#define SRD4_REG2   0</v>
      </c>
    </row>
    <row r="93" spans="1:2" x14ac:dyDescent="0.25">
      <c r="A93">
        <f>A84+11</f>
        <v>56</v>
      </c>
      <c r="B93" s="24" t="str">
        <f ca="1">"#define SRD5_REG"&amp;A83&amp;"   "&amp;N(INDIRECT("CONFIG!A"&amp;A93))*32</f>
        <v>#define SRD5_REG2   0</v>
      </c>
    </row>
    <row r="94" spans="1:2" x14ac:dyDescent="0.25">
      <c r="A94">
        <f>A84+12</f>
        <v>57</v>
      </c>
      <c r="B94" s="24" t="str">
        <f ca="1">"#define SRD6_REG"&amp;A83&amp;"   "&amp;N(INDIRECT("CONFIG!A"&amp;A94))*64</f>
        <v>#define SRD6_REG2   0</v>
      </c>
    </row>
    <row r="95" spans="1:2" x14ac:dyDescent="0.25">
      <c r="A95">
        <f>A84+13</f>
        <v>58</v>
      </c>
      <c r="B95" s="24" t="str">
        <f ca="1">"#define SRD7_REG"&amp;A83&amp;"   "&amp;N(INDIRECT("CONFIG!A"&amp;A95))*128</f>
        <v>#define SRD7_REG2   0</v>
      </c>
    </row>
    <row r="96" spans="1:2" x14ac:dyDescent="0.25">
      <c r="B96" s="24" t="str">
        <f>"#define SRD_REG"&amp;A83&amp;" (SRD0_REG"&amp;A83&amp;" | SRD1_REG"&amp;A83&amp;" | SRD2_REG"&amp;A83&amp;" | SRD3_REG"&amp;A83&amp;" |\"</f>
        <v>#define SRD_REG2 (SRD0_REG2 | SRD1_REG2 | SRD2_REG2 | SRD3_REG2 |\</v>
      </c>
    </row>
    <row r="97" spans="1:2" x14ac:dyDescent="0.25">
      <c r="B97" s="24" t="str">
        <f>"                      SRD4_REG"&amp;A83&amp;" | SRD5_REG"&amp;A83&amp;" | SRD6_REG"&amp;A83&amp;" | SRD7_REG"&amp;A83&amp;")"</f>
        <v xml:space="preserve">                      SRD4_REG2 | SRD5_REG2 | SRD6_REG2 | SRD7_REG2)</v>
      </c>
    </row>
    <row r="98" spans="1:2" x14ac:dyDescent="0.25">
      <c r="A98">
        <f>A84+14</f>
        <v>59</v>
      </c>
      <c r="B98" s="24" t="str" cm="1">
        <f t="array" aca="1" ref="B98" ca="1">"#define PERM_REG"&amp;A83&amp;"   "&amp;INDIRECT("CONFIG!A"&amp;A98)-IF(INDIRECT("CONFIG!A"&amp;A98)&lt;6,1,0)</f>
        <v>#define PERM_REG2   0</v>
      </c>
    </row>
    <row r="99" spans="1:2" x14ac:dyDescent="0.25">
      <c r="A99">
        <f>A84+15</f>
        <v>60</v>
      </c>
      <c r="B99" s="24" t="str">
        <f ca="1">"#define XN_REG"&amp;A83&amp;"   "&amp;N(INDIRECT("CONFIG!A"&amp;A99))</f>
        <v>#define XN_REG2   0</v>
      </c>
    </row>
    <row r="100" spans="1:2" x14ac:dyDescent="0.25">
      <c r="A100">
        <f>A84+16</f>
        <v>61</v>
      </c>
      <c r="B100" s="24" t="str">
        <f ca="1">"#define SHARE_REG"&amp;A83&amp;"   ("&amp;N(INDIRECT("CONFIG!A"&amp;A100))&amp;"&lt;&lt;MPU_RASR_S_Pos)"</f>
        <v>#define SHARE_REG2   (1&lt;&lt;MPU_RASR_S_Pos)</v>
      </c>
    </row>
    <row r="101" spans="1:2" x14ac:dyDescent="0.25">
      <c r="A101">
        <f>A84+17</f>
        <v>62</v>
      </c>
      <c r="B101" s="24" t="str" cm="1">
        <f t="array" aca="1" ref="B101" ca="1">"#define ACCESS_REG"&amp;A83&amp;"   "&amp;MID(INDIRECT("B"&amp;INDIRECT("CONFIG!A"&amp;A101)+258),13,8)</f>
        <v>#define ACCESS_REG2   0x020000</v>
      </c>
    </row>
    <row r="102" spans="1:2" x14ac:dyDescent="0.25">
      <c r="B102" s="24" t="str">
        <f>"#define TEXSCB_REG"&amp;A83&amp;" (ACCESS_REG"&amp;A83&amp;" | SHARE_REG"&amp;A83&amp;")"</f>
        <v>#define TEXSCB_REG2 (ACCESS_REG2 | SHARE_REG2)</v>
      </c>
    </row>
    <row r="103" spans="1:2" x14ac:dyDescent="0.25">
      <c r="B103" s="24"/>
    </row>
    <row r="104" spans="1:2" x14ac:dyDescent="0.25">
      <c r="A104" s="2">
        <f>A83+1</f>
        <v>3</v>
      </c>
      <c r="B104" s="24" t="str">
        <f>"// MPU Region "&amp;A104&amp;" ********************************"</f>
        <v>// MPU Region 3 ********************************</v>
      </c>
    </row>
    <row r="105" spans="1:2" x14ac:dyDescent="0.25">
      <c r="A105" s="2">
        <f>A84+19</f>
        <v>64</v>
      </c>
      <c r="B105" s="24" t="str">
        <f ca="1">"#define CONFIG_REG"&amp;A104&amp;"   "&amp;N(INDIRECT("CONFIG!A"&amp;A105))</f>
        <v>#define CONFIG_REG3   0</v>
      </c>
    </row>
    <row r="106" spans="1:2" x14ac:dyDescent="0.25">
      <c r="A106">
        <f>A105+1</f>
        <v>65</v>
      </c>
      <c r="B106" s="24" t="str">
        <f ca="1">"#define ENABLE_REG"&amp;A104&amp;"   "&amp;N(INDIRECT("CONFIG!A"&amp;A106))</f>
        <v>#define ENABLE_REG3   1</v>
      </c>
    </row>
    <row r="107" spans="1:2" x14ac:dyDescent="0.25">
      <c r="A107">
        <f>A105+2</f>
        <v>66</v>
      </c>
      <c r="B107" s="24" t="str" cm="1">
        <f t="array" aca="1" ref="B107" ca="1">"#define BASE_REG"&amp;A104&amp;"   "&amp;INDIRECT("CONFIG!A"&amp;A107)</f>
        <v>#define BASE_REG3   00000000</v>
      </c>
    </row>
    <row r="108" spans="1:2" x14ac:dyDescent="0.25">
      <c r="A108">
        <f>A105+3</f>
        <v>67</v>
      </c>
      <c r="B108" s="24" t="str" cm="1">
        <f t="array" aca="1" ref="B108" ca="1">"#define SIZE_REG"&amp;A104&amp;"   "&amp;INDIRECT("CONFIG!A"&amp;A108)+3</f>
        <v>#define SIZE_REG3   4</v>
      </c>
    </row>
    <row r="109" spans="1:2" x14ac:dyDescent="0.25">
      <c r="A109">
        <f>A105+6</f>
        <v>70</v>
      </c>
      <c r="B109" s="24" t="str">
        <f ca="1">"#define SRD0_REG"&amp;A104&amp;"   "&amp;N(INDIRECT("CONFIG!A"&amp;A109))</f>
        <v>#define SRD0_REG3   0</v>
      </c>
    </row>
    <row r="110" spans="1:2" x14ac:dyDescent="0.25">
      <c r="A110">
        <f>A105+7</f>
        <v>71</v>
      </c>
      <c r="B110" s="24" t="str">
        <f ca="1">"#define SRD1_REG"&amp;A104&amp;"   "&amp;N(INDIRECT("CONFIG!A"&amp;A110))*2</f>
        <v>#define SRD1_REG3   0</v>
      </c>
    </row>
    <row r="111" spans="1:2" x14ac:dyDescent="0.25">
      <c r="A111">
        <f>A105+8</f>
        <v>72</v>
      </c>
      <c r="B111" s="24" t="str">
        <f ca="1">"#define SRD2_REG"&amp;A104&amp;"   "&amp;N(INDIRECT("CONFIG!A"&amp;A111))*4</f>
        <v>#define SRD2_REG3   0</v>
      </c>
    </row>
    <row r="112" spans="1:2" x14ac:dyDescent="0.25">
      <c r="A112">
        <f>A105+9</f>
        <v>73</v>
      </c>
      <c r="B112" s="24" t="str">
        <f ca="1">"#define SRD3_REG"&amp;A104&amp;"   "&amp;N(INDIRECT("CONFIG!A"&amp;A112))*8</f>
        <v>#define SRD3_REG3   0</v>
      </c>
    </row>
    <row r="113" spans="1:2" x14ac:dyDescent="0.25">
      <c r="A113">
        <f>A105+10</f>
        <v>74</v>
      </c>
      <c r="B113" s="24" t="str">
        <f ca="1">"#define SRD4_REG"&amp;A104&amp;"   "&amp;N(INDIRECT("CONFIG!A"&amp;A113))*16</f>
        <v>#define SRD4_REG3   0</v>
      </c>
    </row>
    <row r="114" spans="1:2" x14ac:dyDescent="0.25">
      <c r="A114">
        <f>A105+11</f>
        <v>75</v>
      </c>
      <c r="B114" s="24" t="str">
        <f ca="1">"#define SRD5_REG"&amp;A104&amp;"   "&amp;N(INDIRECT("CONFIG!A"&amp;A114))*32</f>
        <v>#define SRD5_REG3   0</v>
      </c>
    </row>
    <row r="115" spans="1:2" x14ac:dyDescent="0.25">
      <c r="A115">
        <f>A105+12</f>
        <v>76</v>
      </c>
      <c r="B115" s="24" t="str">
        <f ca="1">"#define SRD6_REG"&amp;A104&amp;"   "&amp;N(INDIRECT("CONFIG!A"&amp;A115))*64</f>
        <v>#define SRD6_REG3   0</v>
      </c>
    </row>
    <row r="116" spans="1:2" x14ac:dyDescent="0.25">
      <c r="A116">
        <f>A105+13</f>
        <v>77</v>
      </c>
      <c r="B116" s="24" t="str">
        <f ca="1">"#define SRD7_REG"&amp;A104&amp;"   "&amp;N(INDIRECT("CONFIG!A"&amp;A116))*128</f>
        <v>#define SRD7_REG3   0</v>
      </c>
    </row>
    <row r="117" spans="1:2" x14ac:dyDescent="0.25">
      <c r="B117" s="24" t="str">
        <f>"#define SRD_REG"&amp;A104&amp;" (SRD0_REG"&amp;A104&amp;" | SRD1_REG"&amp;A104&amp;" | SRD2_REG"&amp;A104&amp;" | SRD3_REG"&amp;A104&amp;" |\"</f>
        <v>#define SRD_REG3 (SRD0_REG3 | SRD1_REG3 | SRD2_REG3 | SRD3_REG3 |\</v>
      </c>
    </row>
    <row r="118" spans="1:2" x14ac:dyDescent="0.25">
      <c r="B118" s="24" t="str">
        <f>"                      SRD4_REG"&amp;A104&amp;" | SRD5_REG"&amp;A104&amp;" | SRD6_REG"&amp;A104&amp;" | SRD7_REG"&amp;A104&amp;")"</f>
        <v xml:space="preserve">                      SRD4_REG3 | SRD5_REG3 | SRD6_REG3 | SRD7_REG3)</v>
      </c>
    </row>
    <row r="119" spans="1:2" x14ac:dyDescent="0.25">
      <c r="A119">
        <f>A105+14</f>
        <v>78</v>
      </c>
      <c r="B119" s="24" t="str" cm="1">
        <f t="array" aca="1" ref="B119" ca="1">"#define PERM_REG"&amp;A104&amp;"   "&amp;INDIRECT("CONFIG!A"&amp;A119)-IF(INDIRECT("CONFIG!A"&amp;A119)&lt;6,1,0)</f>
        <v>#define PERM_REG3   0</v>
      </c>
    </row>
    <row r="120" spans="1:2" x14ac:dyDescent="0.25">
      <c r="A120">
        <f>A105+15</f>
        <v>79</v>
      </c>
      <c r="B120" s="24" t="str">
        <f ca="1">"#define XN_REG"&amp;A104&amp;"   "&amp;N(INDIRECT("CONFIG!A"&amp;A120))</f>
        <v>#define XN_REG3   0</v>
      </c>
    </row>
    <row r="121" spans="1:2" x14ac:dyDescent="0.25">
      <c r="A121">
        <f>A105+16</f>
        <v>80</v>
      </c>
      <c r="B121" s="24" t="str">
        <f ca="1">"#define SHARE_REG"&amp;A104&amp;"   ("&amp;N(INDIRECT("CONFIG!A"&amp;A121))&amp;"&lt;&lt;MPU_RASR_S_Pos)"</f>
        <v>#define SHARE_REG3   (1&lt;&lt;MPU_RASR_S_Pos)</v>
      </c>
    </row>
    <row r="122" spans="1:2" x14ac:dyDescent="0.25">
      <c r="A122">
        <f>A105+17</f>
        <v>81</v>
      </c>
      <c r="B122" s="24" t="str" cm="1">
        <f t="array" aca="1" ref="B122" ca="1">"#define ACCESS_REG"&amp;A104&amp;"   "&amp;MID(INDIRECT("B"&amp;INDIRECT("CONFIG!A"&amp;A122)+258),13,8)</f>
        <v>#define ACCESS_REG3   0x020000</v>
      </c>
    </row>
    <row r="123" spans="1:2" x14ac:dyDescent="0.25">
      <c r="B123" s="24" t="str">
        <f>"#define TEXSCB_REG"&amp;A104&amp;" (ACCESS_REG"&amp;A104&amp;" | SHARE_REG"&amp;A104&amp;")"</f>
        <v>#define TEXSCB_REG3 (ACCESS_REG3 | SHARE_REG3)</v>
      </c>
    </row>
    <row r="124" spans="1:2" x14ac:dyDescent="0.25">
      <c r="B124" s="24"/>
    </row>
    <row r="125" spans="1:2" x14ac:dyDescent="0.25">
      <c r="A125" s="2">
        <f>A104+1</f>
        <v>4</v>
      </c>
      <c r="B125" s="24" t="str">
        <f>"// MPU Region "&amp;A125&amp;" ********************************"</f>
        <v>// MPU Region 4 ********************************</v>
      </c>
    </row>
    <row r="126" spans="1:2" x14ac:dyDescent="0.25">
      <c r="A126" s="2">
        <f>A105+19</f>
        <v>83</v>
      </c>
      <c r="B126" s="24" t="str">
        <f ca="1">"#define CONFIG_REG"&amp;A125&amp;"   "&amp;N(INDIRECT("CONFIG!A"&amp;A126))</f>
        <v>#define CONFIG_REG4   0</v>
      </c>
    </row>
    <row r="127" spans="1:2" x14ac:dyDescent="0.25">
      <c r="A127">
        <f>A126+1</f>
        <v>84</v>
      </c>
      <c r="B127" s="24" t="str">
        <f ca="1">"#define ENABLE_REG"&amp;A125&amp;"   "&amp;N(INDIRECT("CONFIG!A"&amp;A127))</f>
        <v>#define ENABLE_REG4   1</v>
      </c>
    </row>
    <row r="128" spans="1:2" x14ac:dyDescent="0.25">
      <c r="A128">
        <f>A126+2</f>
        <v>85</v>
      </c>
      <c r="B128" s="24" t="str" cm="1">
        <f t="array" aca="1" ref="B128" ca="1">"#define BASE_REG"&amp;A125&amp;"   "&amp;INDIRECT("CONFIG!A"&amp;A128)</f>
        <v>#define BASE_REG4   00000000</v>
      </c>
    </row>
    <row r="129" spans="1:2" x14ac:dyDescent="0.25">
      <c r="A129">
        <f>A126+3</f>
        <v>86</v>
      </c>
      <c r="B129" s="24" t="str" cm="1">
        <f t="array" aca="1" ref="B129" ca="1">"#define SIZE_REG"&amp;A125&amp;"   "&amp;INDIRECT("CONFIG!A"&amp;A129)+3</f>
        <v>#define SIZE_REG4   4</v>
      </c>
    </row>
    <row r="130" spans="1:2" x14ac:dyDescent="0.25">
      <c r="A130">
        <f>A126+6</f>
        <v>89</v>
      </c>
      <c r="B130" s="24" t="str">
        <f ca="1">"#define SRD0_REG"&amp;A125&amp;"   "&amp;N(INDIRECT("CONFIG!A"&amp;A130))</f>
        <v>#define SRD0_REG4   0</v>
      </c>
    </row>
    <row r="131" spans="1:2" x14ac:dyDescent="0.25">
      <c r="A131">
        <f>A126+7</f>
        <v>90</v>
      </c>
      <c r="B131" s="24" t="str">
        <f ca="1">"#define SRD1_REG"&amp;A125&amp;"   "&amp;N(INDIRECT("CONFIG!A"&amp;A131))*2</f>
        <v>#define SRD1_REG4   0</v>
      </c>
    </row>
    <row r="132" spans="1:2" x14ac:dyDescent="0.25">
      <c r="A132">
        <f>A126+8</f>
        <v>91</v>
      </c>
      <c r="B132" s="24" t="str">
        <f ca="1">"#define SRD2_REG"&amp;A125&amp;"   "&amp;N(INDIRECT("CONFIG!A"&amp;A132))*4</f>
        <v>#define SRD2_REG4   0</v>
      </c>
    </row>
    <row r="133" spans="1:2" x14ac:dyDescent="0.25">
      <c r="A133">
        <f>A126+9</f>
        <v>92</v>
      </c>
      <c r="B133" s="24" t="str">
        <f ca="1">"#define SRD3_REG"&amp;A125&amp;"   "&amp;N(INDIRECT("CONFIG!A"&amp;A133))*8</f>
        <v>#define SRD3_REG4   0</v>
      </c>
    </row>
    <row r="134" spans="1:2" x14ac:dyDescent="0.25">
      <c r="A134">
        <f>A126+10</f>
        <v>93</v>
      </c>
      <c r="B134" s="24" t="str">
        <f ca="1">"#define SRD4_REG"&amp;A125&amp;"   "&amp;N(INDIRECT("CONFIG!A"&amp;A134))*16</f>
        <v>#define SRD4_REG4   0</v>
      </c>
    </row>
    <row r="135" spans="1:2" x14ac:dyDescent="0.25">
      <c r="A135">
        <f>A126+11</f>
        <v>94</v>
      </c>
      <c r="B135" s="24" t="str">
        <f ca="1">"#define SRD5_REG"&amp;A125&amp;"   "&amp;N(INDIRECT("CONFIG!A"&amp;A135))*32</f>
        <v>#define SRD5_REG4   0</v>
      </c>
    </row>
    <row r="136" spans="1:2" x14ac:dyDescent="0.25">
      <c r="A136">
        <f>A126+12</f>
        <v>95</v>
      </c>
      <c r="B136" s="24" t="str">
        <f ca="1">"#define SRD6_REG"&amp;A125&amp;"   "&amp;N(INDIRECT("CONFIG!A"&amp;A136))*64</f>
        <v>#define SRD6_REG4   0</v>
      </c>
    </row>
    <row r="137" spans="1:2" x14ac:dyDescent="0.25">
      <c r="A137">
        <f>A126+13</f>
        <v>96</v>
      </c>
      <c r="B137" s="24" t="str">
        <f ca="1">"#define SRD7_REG"&amp;A125&amp;"   "&amp;N(INDIRECT("CONFIG!A"&amp;A137))*128</f>
        <v>#define SRD7_REG4   0</v>
      </c>
    </row>
    <row r="138" spans="1:2" x14ac:dyDescent="0.25">
      <c r="B138" s="24" t="str">
        <f>"#define SRD_REG"&amp;A125&amp;" (SRD0_REG"&amp;A125&amp;" | SRD1_REG"&amp;A125&amp;" | SRD2_REG"&amp;A125&amp;" | SRD3_REG"&amp;A125&amp;" |\"</f>
        <v>#define SRD_REG4 (SRD0_REG4 | SRD1_REG4 | SRD2_REG4 | SRD3_REG4 |\</v>
      </c>
    </row>
    <row r="139" spans="1:2" x14ac:dyDescent="0.25">
      <c r="B139" s="24" t="str">
        <f>"                      SRD4_REG"&amp;A125&amp;" | SRD5_REG"&amp;A125&amp;" | SRD6_REG"&amp;A125&amp;" | SRD7_REG"&amp;A125&amp;")"</f>
        <v xml:space="preserve">                      SRD4_REG4 | SRD5_REG4 | SRD6_REG4 | SRD7_REG4)</v>
      </c>
    </row>
    <row r="140" spans="1:2" x14ac:dyDescent="0.25">
      <c r="A140">
        <f>A126+14</f>
        <v>97</v>
      </c>
      <c r="B140" s="24" t="str" cm="1">
        <f t="array" aca="1" ref="B140" ca="1">"#define PERM_REG"&amp;A125&amp;"   "&amp;INDIRECT("CONFIG!A"&amp;A140)-IF(INDIRECT("CONFIG!A"&amp;A140)&lt;6,1,0)</f>
        <v>#define PERM_REG4   0</v>
      </c>
    </row>
    <row r="141" spans="1:2" x14ac:dyDescent="0.25">
      <c r="A141">
        <f>A126+15</f>
        <v>98</v>
      </c>
      <c r="B141" s="24" t="str">
        <f ca="1">"#define XN_REG"&amp;A125&amp;"   "&amp;N(INDIRECT("CONFIG!A"&amp;A141))</f>
        <v>#define XN_REG4   0</v>
      </c>
    </row>
    <row r="142" spans="1:2" x14ac:dyDescent="0.25">
      <c r="A142">
        <f>A126+16</f>
        <v>99</v>
      </c>
      <c r="B142" s="24" t="str">
        <f ca="1">"#define SHARE_REG"&amp;A125&amp;"   ("&amp;N(INDIRECT("CONFIG!A"&amp;A142))&amp;"&lt;&lt;MPU_RASR_S_Pos)"</f>
        <v>#define SHARE_REG4   (1&lt;&lt;MPU_RASR_S_Pos)</v>
      </c>
    </row>
    <row r="143" spans="1:2" x14ac:dyDescent="0.25">
      <c r="A143">
        <f>A126+17</f>
        <v>100</v>
      </c>
      <c r="B143" s="24" t="str" cm="1">
        <f t="array" aca="1" ref="B143" ca="1">"#define ACCESS_REG"&amp;A125&amp;"   "&amp;MID(INDIRECT("B"&amp;INDIRECT("CONFIG!A"&amp;A143)+258),13,8)</f>
        <v>#define ACCESS_REG4   0x020000</v>
      </c>
    </row>
    <row r="144" spans="1:2" x14ac:dyDescent="0.25">
      <c r="B144" s="24" t="str">
        <f>"#define TEXSCB_REG"&amp;A125&amp;" (ACCESS_REG"&amp;A125&amp;" | SHARE_REG"&amp;A125&amp;")"</f>
        <v>#define TEXSCB_REG4 (ACCESS_REG4 | SHARE_REG4)</v>
      </c>
    </row>
    <row r="145" spans="1:2" x14ac:dyDescent="0.25">
      <c r="B145" s="24"/>
    </row>
    <row r="146" spans="1:2" x14ac:dyDescent="0.25">
      <c r="A146" s="2">
        <f>A125+1</f>
        <v>5</v>
      </c>
      <c r="B146" s="24" t="str">
        <f>"// MPU Region "&amp;A146&amp;" ********************************"</f>
        <v>// MPU Region 5 ********************************</v>
      </c>
    </row>
    <row r="147" spans="1:2" x14ac:dyDescent="0.25">
      <c r="A147" s="2">
        <f>A126+19</f>
        <v>102</v>
      </c>
      <c r="B147" s="24" t="str">
        <f ca="1">"#define CONFIG_REG"&amp;A146&amp;"   "&amp;N(INDIRECT("CONFIG!A"&amp;A147))</f>
        <v>#define CONFIG_REG5   0</v>
      </c>
    </row>
    <row r="148" spans="1:2" x14ac:dyDescent="0.25">
      <c r="A148">
        <f>A147+1</f>
        <v>103</v>
      </c>
      <c r="B148" s="24" t="str">
        <f ca="1">"#define ENABLE_REG"&amp;A146&amp;"   "&amp;N(INDIRECT("CONFIG!A"&amp;A148))</f>
        <v>#define ENABLE_REG5   1</v>
      </c>
    </row>
    <row r="149" spans="1:2" x14ac:dyDescent="0.25">
      <c r="A149">
        <f>A147+2</f>
        <v>104</v>
      </c>
      <c r="B149" s="24" t="str" cm="1">
        <f t="array" aca="1" ref="B149" ca="1">"#define BASE_REG"&amp;A146&amp;"   "&amp;INDIRECT("CONFIG!A"&amp;A149)</f>
        <v>#define BASE_REG5   00000000</v>
      </c>
    </row>
    <row r="150" spans="1:2" x14ac:dyDescent="0.25">
      <c r="A150">
        <f>A147+3</f>
        <v>105</v>
      </c>
      <c r="B150" s="24" t="str" cm="1">
        <f t="array" aca="1" ref="B150" ca="1">"#define SIZE_REG"&amp;A146&amp;"   "&amp;INDIRECT("CONFIG!A"&amp;A150)+3</f>
        <v>#define SIZE_REG5   4</v>
      </c>
    </row>
    <row r="151" spans="1:2" x14ac:dyDescent="0.25">
      <c r="A151">
        <f>A147+6</f>
        <v>108</v>
      </c>
      <c r="B151" s="24" t="str">
        <f ca="1">"#define SRD0_REG"&amp;A146&amp;"   "&amp;N(INDIRECT("CONFIG!A"&amp;A151))</f>
        <v>#define SRD0_REG5   0</v>
      </c>
    </row>
    <row r="152" spans="1:2" x14ac:dyDescent="0.25">
      <c r="A152">
        <f>A147+7</f>
        <v>109</v>
      </c>
      <c r="B152" s="24" t="str">
        <f ca="1">"#define SRD1_REG"&amp;A146&amp;"   "&amp;N(INDIRECT("CONFIG!A"&amp;A152))*2</f>
        <v>#define SRD1_REG5   0</v>
      </c>
    </row>
    <row r="153" spans="1:2" x14ac:dyDescent="0.25">
      <c r="A153">
        <f>A147+8</f>
        <v>110</v>
      </c>
      <c r="B153" s="24" t="str">
        <f ca="1">"#define SRD2_REG"&amp;A146&amp;"   "&amp;N(INDIRECT("CONFIG!A"&amp;A153))*4</f>
        <v>#define SRD2_REG5   0</v>
      </c>
    </row>
    <row r="154" spans="1:2" x14ac:dyDescent="0.25">
      <c r="A154">
        <f>A147+9</f>
        <v>111</v>
      </c>
      <c r="B154" s="24" t="str">
        <f ca="1">"#define SRD3_REG"&amp;A146&amp;"   "&amp;N(INDIRECT("CONFIG!A"&amp;A154))*8</f>
        <v>#define SRD3_REG5   0</v>
      </c>
    </row>
    <row r="155" spans="1:2" x14ac:dyDescent="0.25">
      <c r="A155">
        <f>A147+10</f>
        <v>112</v>
      </c>
      <c r="B155" s="24" t="str">
        <f ca="1">"#define SRD4_REG"&amp;A146&amp;"   "&amp;N(INDIRECT("CONFIG!A"&amp;A155))*16</f>
        <v>#define SRD4_REG5   0</v>
      </c>
    </row>
    <row r="156" spans="1:2" x14ac:dyDescent="0.25">
      <c r="A156">
        <f>A147+11</f>
        <v>113</v>
      </c>
      <c r="B156" s="24" t="str">
        <f ca="1">"#define SRD5_REG"&amp;A146&amp;"   "&amp;N(INDIRECT("CONFIG!A"&amp;A156))*32</f>
        <v>#define SRD5_REG5   0</v>
      </c>
    </row>
    <row r="157" spans="1:2" x14ac:dyDescent="0.25">
      <c r="A157">
        <f>A147+12</f>
        <v>114</v>
      </c>
      <c r="B157" s="24" t="str">
        <f ca="1">"#define SRD6_REG"&amp;A146&amp;"   "&amp;N(INDIRECT("CONFIG!A"&amp;A157))*64</f>
        <v>#define SRD6_REG5   0</v>
      </c>
    </row>
    <row r="158" spans="1:2" x14ac:dyDescent="0.25">
      <c r="A158">
        <f>A147+13</f>
        <v>115</v>
      </c>
      <c r="B158" s="24" t="str">
        <f ca="1">"#define SRD7_REG"&amp;A146&amp;"   "&amp;N(INDIRECT("CONFIG!A"&amp;A158))*128</f>
        <v>#define SRD7_REG5   0</v>
      </c>
    </row>
    <row r="159" spans="1:2" x14ac:dyDescent="0.25">
      <c r="B159" s="24" t="str">
        <f>"#define SRD_REG"&amp;A146&amp;" (SRD0_REG"&amp;A146&amp;" | SRD1_REG"&amp;A146&amp;" | SRD2_REG"&amp;A146&amp;" | SRD3_REG"&amp;A146&amp;" |\"</f>
        <v>#define SRD_REG5 (SRD0_REG5 | SRD1_REG5 | SRD2_REG5 | SRD3_REG5 |\</v>
      </c>
    </row>
    <row r="160" spans="1:2" x14ac:dyDescent="0.25">
      <c r="B160" s="24" t="str">
        <f>"                      SRD4_REG"&amp;A146&amp;" | SRD5_REG"&amp;A146&amp;" | SRD6_REG"&amp;A146&amp;" | SRD7_REG"&amp;A146&amp;")"</f>
        <v xml:space="preserve">                      SRD4_REG5 | SRD5_REG5 | SRD6_REG5 | SRD7_REG5)</v>
      </c>
    </row>
    <row r="161" spans="1:2" x14ac:dyDescent="0.25">
      <c r="A161">
        <f>A147+14</f>
        <v>116</v>
      </c>
      <c r="B161" s="24" t="str" cm="1">
        <f t="array" aca="1" ref="B161" ca="1">"#define PERM_REG"&amp;A146&amp;"   "&amp;INDIRECT("CONFIG!A"&amp;A161)-IF(INDIRECT("CONFIG!A"&amp;A161)&lt;6,1,0)</f>
        <v>#define PERM_REG5   0</v>
      </c>
    </row>
    <row r="162" spans="1:2" x14ac:dyDescent="0.25">
      <c r="A162">
        <f>A147+15</f>
        <v>117</v>
      </c>
      <c r="B162" s="24" t="str">
        <f ca="1">"#define XN_REG"&amp;A146&amp;"   "&amp;N(INDIRECT("CONFIG!A"&amp;A162))</f>
        <v>#define XN_REG5   0</v>
      </c>
    </row>
    <row r="163" spans="1:2" x14ac:dyDescent="0.25">
      <c r="A163">
        <f>A147+16</f>
        <v>118</v>
      </c>
      <c r="B163" s="24" t="str">
        <f ca="1">"#define SHARE_REG"&amp;A146&amp;"   ("&amp;N(INDIRECT("CONFIG!A"&amp;A163))&amp;"&lt;&lt;MPU_RASR_S_Pos)"</f>
        <v>#define SHARE_REG5   (1&lt;&lt;MPU_RASR_S_Pos)</v>
      </c>
    </row>
    <row r="164" spans="1:2" x14ac:dyDescent="0.25">
      <c r="A164">
        <f>A147+17</f>
        <v>119</v>
      </c>
      <c r="B164" s="24" t="str" cm="1">
        <f t="array" aca="1" ref="B164" ca="1">"#define ACCESS_REG"&amp;A146&amp;"   "&amp;MID(INDIRECT("B"&amp;INDIRECT("CONFIG!A"&amp;A164)+258),13,8)</f>
        <v>#define ACCESS_REG5   0x020000</v>
      </c>
    </row>
    <row r="165" spans="1:2" x14ac:dyDescent="0.25">
      <c r="B165" s="24" t="str">
        <f>"#define TEXSCB_REG"&amp;A146&amp;" (ACCESS_REG"&amp;A146&amp;" | SHARE_REG"&amp;A146&amp;")"</f>
        <v>#define TEXSCB_REG5 (ACCESS_REG5 | SHARE_REG5)</v>
      </c>
    </row>
    <row r="166" spans="1:2" x14ac:dyDescent="0.25">
      <c r="B166" s="24"/>
    </row>
    <row r="167" spans="1:2" x14ac:dyDescent="0.25">
      <c r="A167" s="2">
        <f>A146+1</f>
        <v>6</v>
      </c>
      <c r="B167" s="24" t="str">
        <f>"// MPU Region "&amp;A167&amp;" ********************************"</f>
        <v>// MPU Region 6 ********************************</v>
      </c>
    </row>
    <row r="168" spans="1:2" x14ac:dyDescent="0.25">
      <c r="A168" s="2">
        <f>A147+19</f>
        <v>121</v>
      </c>
      <c r="B168" s="24" t="str">
        <f ca="1">"#define CONFIG_REG"&amp;A167&amp;"   "&amp;N(INDIRECT("CONFIG!A"&amp;A168))</f>
        <v>#define CONFIG_REG6   0</v>
      </c>
    </row>
    <row r="169" spans="1:2" x14ac:dyDescent="0.25">
      <c r="A169">
        <f>A168+1</f>
        <v>122</v>
      </c>
      <c r="B169" s="24" t="str">
        <f ca="1">"#define ENABLE_REG"&amp;A167&amp;"   "&amp;N(INDIRECT("CONFIG!A"&amp;A169))</f>
        <v>#define ENABLE_REG6   1</v>
      </c>
    </row>
    <row r="170" spans="1:2" x14ac:dyDescent="0.25">
      <c r="A170">
        <f>A168+2</f>
        <v>123</v>
      </c>
      <c r="B170" s="24" t="str" cm="1">
        <f t="array" aca="1" ref="B170" ca="1">"#define BASE_REG"&amp;A167&amp;"   "&amp;INDIRECT("CONFIG!A"&amp;A170)</f>
        <v>#define BASE_REG6   00000000</v>
      </c>
    </row>
    <row r="171" spans="1:2" x14ac:dyDescent="0.25">
      <c r="A171">
        <f>A168+3</f>
        <v>124</v>
      </c>
      <c r="B171" s="24" t="str" cm="1">
        <f t="array" aca="1" ref="B171" ca="1">"#define SIZE_REG"&amp;A167&amp;"   "&amp;INDIRECT("CONFIG!A"&amp;A171)+3</f>
        <v>#define SIZE_REG6   4</v>
      </c>
    </row>
    <row r="172" spans="1:2" x14ac:dyDescent="0.25">
      <c r="A172">
        <f>A168+6</f>
        <v>127</v>
      </c>
      <c r="B172" s="24" t="str">
        <f ca="1">"#define SRD0_REG"&amp;A167&amp;"   "&amp;N(INDIRECT("CONFIG!A"&amp;A172))</f>
        <v>#define SRD0_REG6   0</v>
      </c>
    </row>
    <row r="173" spans="1:2" x14ac:dyDescent="0.25">
      <c r="A173">
        <f>A168+7</f>
        <v>128</v>
      </c>
      <c r="B173" s="24" t="str">
        <f ca="1">"#define SRD1_REG"&amp;A167&amp;"   "&amp;N(INDIRECT("CONFIG!A"&amp;A173))*2</f>
        <v>#define SRD1_REG6   0</v>
      </c>
    </row>
    <row r="174" spans="1:2" x14ac:dyDescent="0.25">
      <c r="A174">
        <f>A168+8</f>
        <v>129</v>
      </c>
      <c r="B174" s="24" t="str">
        <f ca="1">"#define SRD2_REG"&amp;A167&amp;"   "&amp;N(INDIRECT("CONFIG!A"&amp;A174))*4</f>
        <v>#define SRD2_REG6   0</v>
      </c>
    </row>
    <row r="175" spans="1:2" x14ac:dyDescent="0.25">
      <c r="A175">
        <f>A168+9</f>
        <v>130</v>
      </c>
      <c r="B175" s="24" t="str">
        <f ca="1">"#define SRD3_REG"&amp;A167&amp;"   "&amp;N(INDIRECT("CONFIG!A"&amp;A175))*8</f>
        <v>#define SRD3_REG6   0</v>
      </c>
    </row>
    <row r="176" spans="1:2" x14ac:dyDescent="0.25">
      <c r="A176">
        <f>A168+10</f>
        <v>131</v>
      </c>
      <c r="B176" s="24" t="str">
        <f ca="1">"#define SRD4_REG"&amp;A167&amp;"   "&amp;N(INDIRECT("CONFIG!A"&amp;A176))*16</f>
        <v>#define SRD4_REG6   0</v>
      </c>
    </row>
    <row r="177" spans="1:2" x14ac:dyDescent="0.25">
      <c r="A177">
        <f>A168+11</f>
        <v>132</v>
      </c>
      <c r="B177" s="24" t="str">
        <f ca="1">"#define SRD5_REG"&amp;A167&amp;"   "&amp;N(INDIRECT("CONFIG!A"&amp;A177))*32</f>
        <v>#define SRD5_REG6   0</v>
      </c>
    </row>
    <row r="178" spans="1:2" x14ac:dyDescent="0.25">
      <c r="A178">
        <f>A168+12</f>
        <v>133</v>
      </c>
      <c r="B178" s="24" t="str">
        <f ca="1">"#define SRD6_REG"&amp;A167&amp;"   "&amp;N(INDIRECT("CONFIG!A"&amp;A178))*64</f>
        <v>#define SRD6_REG6   0</v>
      </c>
    </row>
    <row r="179" spans="1:2" x14ac:dyDescent="0.25">
      <c r="A179">
        <f>A168+13</f>
        <v>134</v>
      </c>
      <c r="B179" s="24" t="str">
        <f ca="1">"#define SRD7_REG"&amp;A167&amp;"   "&amp;N(INDIRECT("CONFIG!A"&amp;A179))*128</f>
        <v>#define SRD7_REG6   0</v>
      </c>
    </row>
    <row r="180" spans="1:2" x14ac:dyDescent="0.25">
      <c r="B180" s="24" t="str">
        <f>"#define SRD_REG"&amp;A167&amp;" (SRD0_REG"&amp;A167&amp;" | SRD1_REG"&amp;A167&amp;" | SRD2_REG"&amp;A167&amp;" | SRD3_REG"&amp;A167&amp;" |\"</f>
        <v>#define SRD_REG6 (SRD0_REG6 | SRD1_REG6 | SRD2_REG6 | SRD3_REG6 |\</v>
      </c>
    </row>
    <row r="181" spans="1:2" x14ac:dyDescent="0.25">
      <c r="B181" s="24" t="str">
        <f>"                      SRD4_REG"&amp;A167&amp;" | SRD5_REG"&amp;A167&amp;" | SRD6_REG"&amp;A167&amp;" | SRD7_REG"&amp;A167&amp;")"</f>
        <v xml:space="preserve">                      SRD4_REG6 | SRD5_REG6 | SRD6_REG6 | SRD7_REG6)</v>
      </c>
    </row>
    <row r="182" spans="1:2" x14ac:dyDescent="0.25">
      <c r="A182">
        <f>A168+14</f>
        <v>135</v>
      </c>
      <c r="B182" s="24" t="str" cm="1">
        <f t="array" aca="1" ref="B182" ca="1">"#define PERM_REG"&amp;A167&amp;"   "&amp;INDIRECT("CONFIG!A"&amp;A182)-IF(INDIRECT("CONFIG!A"&amp;A182)&lt;6,1,0)</f>
        <v>#define PERM_REG6   0</v>
      </c>
    </row>
    <row r="183" spans="1:2" x14ac:dyDescent="0.25">
      <c r="A183">
        <f>A168+15</f>
        <v>136</v>
      </c>
      <c r="B183" s="24" t="str">
        <f ca="1">"#define XN_REG"&amp;A167&amp;"   "&amp;N(INDIRECT("CONFIG!A"&amp;A183))</f>
        <v>#define XN_REG6   0</v>
      </c>
    </row>
    <row r="184" spans="1:2" x14ac:dyDescent="0.25">
      <c r="A184">
        <f>A168+16</f>
        <v>137</v>
      </c>
      <c r="B184" s="24" t="str">
        <f ca="1">"#define SHARE_REG"&amp;A167&amp;"   ("&amp;N(INDIRECT("CONFIG!A"&amp;A184))&amp;"&lt;&lt;MPU_RASR_S_Pos)"</f>
        <v>#define SHARE_REG6   (1&lt;&lt;MPU_RASR_S_Pos)</v>
      </c>
    </row>
    <row r="185" spans="1:2" x14ac:dyDescent="0.25">
      <c r="A185">
        <f>A168+17</f>
        <v>138</v>
      </c>
      <c r="B185" s="24" t="str" cm="1">
        <f t="array" aca="1" ref="B185" ca="1">"#define ACCESS_REG"&amp;A167&amp;"   "&amp;MID(INDIRECT("B"&amp;INDIRECT("CONFIG!A"&amp;A185)+258),13,8)</f>
        <v>#define ACCESS_REG6   0x020000</v>
      </c>
    </row>
    <row r="186" spans="1:2" x14ac:dyDescent="0.25">
      <c r="B186" s="24" t="str">
        <f>"#define TEXSCB_REG"&amp;A167&amp;" (ACCESS_REG"&amp;A167&amp;" | SHARE_REG"&amp;A167&amp;")"</f>
        <v>#define TEXSCB_REG6 (ACCESS_REG6 | SHARE_REG6)</v>
      </c>
    </row>
    <row r="187" spans="1:2" x14ac:dyDescent="0.25">
      <c r="B187" s="24"/>
    </row>
    <row r="188" spans="1:2" x14ac:dyDescent="0.25">
      <c r="A188" s="2">
        <f>A167+1</f>
        <v>7</v>
      </c>
      <c r="B188" s="24" t="str">
        <f>"// MPU Region "&amp;A188&amp;" ********************************"</f>
        <v>// MPU Region 7 ********************************</v>
      </c>
    </row>
    <row r="189" spans="1:2" x14ac:dyDescent="0.25">
      <c r="A189" s="2">
        <f>A168+19</f>
        <v>140</v>
      </c>
      <c r="B189" s="24" t="str">
        <f ca="1">"#define CONFIG_REG"&amp;A188&amp;"   "&amp;N(INDIRECT("CONFIG!A"&amp;A189))</f>
        <v>#define CONFIG_REG7   0</v>
      </c>
    </row>
    <row r="190" spans="1:2" x14ac:dyDescent="0.25">
      <c r="A190">
        <f>A189+1</f>
        <v>141</v>
      </c>
      <c r="B190" s="24" t="str">
        <f ca="1">"#define ENABLE_REG"&amp;A188&amp;"   "&amp;N(INDIRECT("CONFIG!A"&amp;A190))</f>
        <v>#define ENABLE_REG7   1</v>
      </c>
    </row>
    <row r="191" spans="1:2" x14ac:dyDescent="0.25">
      <c r="A191">
        <f>A189+2</f>
        <v>142</v>
      </c>
      <c r="B191" s="24" t="str" cm="1">
        <f t="array" aca="1" ref="B191" ca="1">"#define BASE_REG"&amp;A188&amp;"   "&amp;INDIRECT("CONFIG!A"&amp;A191)</f>
        <v>#define BASE_REG7   00000000</v>
      </c>
    </row>
    <row r="192" spans="1:2" x14ac:dyDescent="0.25">
      <c r="A192">
        <f>A189+3</f>
        <v>143</v>
      </c>
      <c r="B192" s="24" t="str" cm="1">
        <f t="array" aca="1" ref="B192" ca="1">"#define SIZE_REG"&amp;A188&amp;"   "&amp;INDIRECT("CONFIG!A"&amp;A192)+3</f>
        <v>#define SIZE_REG7   4</v>
      </c>
    </row>
    <row r="193" spans="1:2" x14ac:dyDescent="0.25">
      <c r="A193">
        <f>A189+6</f>
        <v>146</v>
      </c>
      <c r="B193" s="24" t="str">
        <f ca="1">"#define SRD0_REG"&amp;A188&amp;"   "&amp;N(INDIRECT("CONFIG!A"&amp;A193))</f>
        <v>#define SRD0_REG7   0</v>
      </c>
    </row>
    <row r="194" spans="1:2" x14ac:dyDescent="0.25">
      <c r="A194">
        <f>A189+7</f>
        <v>147</v>
      </c>
      <c r="B194" s="24" t="str">
        <f ca="1">"#define SRD1_REG"&amp;A188&amp;"   "&amp;N(INDIRECT("CONFIG!A"&amp;A194))*2</f>
        <v>#define SRD1_REG7   0</v>
      </c>
    </row>
    <row r="195" spans="1:2" x14ac:dyDescent="0.25">
      <c r="A195">
        <f>A189+8</f>
        <v>148</v>
      </c>
      <c r="B195" s="24" t="str">
        <f ca="1">"#define SRD2_REG"&amp;A188&amp;"   "&amp;N(INDIRECT("CONFIG!A"&amp;A195))*4</f>
        <v>#define SRD2_REG7   0</v>
      </c>
    </row>
    <row r="196" spans="1:2" x14ac:dyDescent="0.25">
      <c r="A196">
        <f>A189+9</f>
        <v>149</v>
      </c>
      <c r="B196" s="24" t="str">
        <f ca="1">"#define SRD3_REG"&amp;A188&amp;"   "&amp;N(INDIRECT("CONFIG!A"&amp;A196))*8</f>
        <v>#define SRD3_REG7   0</v>
      </c>
    </row>
    <row r="197" spans="1:2" x14ac:dyDescent="0.25">
      <c r="A197">
        <f>A189+10</f>
        <v>150</v>
      </c>
      <c r="B197" s="24" t="str">
        <f ca="1">"#define SRD4_REG"&amp;A188&amp;"   "&amp;N(INDIRECT("CONFIG!A"&amp;A197))*16</f>
        <v>#define SRD4_REG7   0</v>
      </c>
    </row>
    <row r="198" spans="1:2" x14ac:dyDescent="0.25">
      <c r="A198">
        <f>A189+11</f>
        <v>151</v>
      </c>
      <c r="B198" s="24" t="str">
        <f ca="1">"#define SRD5_REG"&amp;A188&amp;"   "&amp;N(INDIRECT("CONFIG!A"&amp;A198))*32</f>
        <v>#define SRD5_REG7   0</v>
      </c>
    </row>
    <row r="199" spans="1:2" x14ac:dyDescent="0.25">
      <c r="A199">
        <f>A189+12</f>
        <v>152</v>
      </c>
      <c r="B199" s="24" t="str">
        <f ca="1">"#define SRD6_REG"&amp;A188&amp;"   "&amp;N(INDIRECT("CONFIG!A"&amp;A199))*64</f>
        <v>#define SRD6_REG7   0</v>
      </c>
    </row>
    <row r="200" spans="1:2" x14ac:dyDescent="0.25">
      <c r="A200">
        <f>A189+13</f>
        <v>153</v>
      </c>
      <c r="B200" s="24" t="str">
        <f ca="1">"#define SRD7_REG"&amp;A188&amp;"   "&amp;N(INDIRECT("CONFIG!A"&amp;A200))*128</f>
        <v>#define SRD7_REG7   0</v>
      </c>
    </row>
    <row r="201" spans="1:2" x14ac:dyDescent="0.25">
      <c r="B201" s="24" t="str">
        <f>"#define SRD_REG"&amp;A188&amp;" (SRD0_REG"&amp;A188&amp;" | SRD1_REG"&amp;A188&amp;" | SRD2_REG"&amp;A188&amp;" | SRD3_REG"&amp;A188&amp;" |\"</f>
        <v>#define SRD_REG7 (SRD0_REG7 | SRD1_REG7 | SRD2_REG7 | SRD3_REG7 |\</v>
      </c>
    </row>
    <row r="202" spans="1:2" x14ac:dyDescent="0.25">
      <c r="B202" s="24" t="str">
        <f>"                      SRD4_REG"&amp;A188&amp;" | SRD5_REG"&amp;A188&amp;" | SRD6_REG"&amp;A188&amp;" | SRD7_REG"&amp;A188&amp;")"</f>
        <v xml:space="preserve">                      SRD4_REG7 | SRD5_REG7 | SRD6_REG7 | SRD7_REG7)</v>
      </c>
    </row>
    <row r="203" spans="1:2" x14ac:dyDescent="0.25">
      <c r="A203">
        <f>A189+14</f>
        <v>154</v>
      </c>
      <c r="B203" s="24" t="str" cm="1">
        <f t="array" aca="1" ref="B203" ca="1">"#define PERM_REG"&amp;A188&amp;"   "&amp;INDIRECT("CONFIG!A"&amp;A203)-IF(INDIRECT("CONFIG!A"&amp;A203)&lt;6,1,0)</f>
        <v>#define PERM_REG7   0</v>
      </c>
    </row>
    <row r="204" spans="1:2" x14ac:dyDescent="0.25">
      <c r="A204">
        <f>A189+15</f>
        <v>155</v>
      </c>
      <c r="B204" s="24" t="str">
        <f ca="1">"#define XN_REG"&amp;A188&amp;"   "&amp;N(INDIRECT("CONFIG!A"&amp;A204))</f>
        <v>#define XN_REG7   0</v>
      </c>
    </row>
    <row r="205" spans="1:2" x14ac:dyDescent="0.25">
      <c r="A205">
        <f>A189+16</f>
        <v>156</v>
      </c>
      <c r="B205" s="24" t="str">
        <f ca="1">"#define SHARE_REG"&amp;A188&amp;"   ("&amp;N(INDIRECT("CONFIG!A"&amp;A205))&amp;"&lt;&lt;MPU_RASR_S_Pos)"</f>
        <v>#define SHARE_REG7   (1&lt;&lt;MPU_RASR_S_Pos)</v>
      </c>
    </row>
    <row r="206" spans="1:2" x14ac:dyDescent="0.25">
      <c r="A206">
        <f>A189+17</f>
        <v>157</v>
      </c>
      <c r="B206" s="24" t="str" cm="1">
        <f t="array" aca="1" ref="B206" ca="1">"#define ACCESS_REG"&amp;A188&amp;"   "&amp;MID(INDIRECT("B"&amp;INDIRECT("CONFIG!A"&amp;A206)+258),13,8)</f>
        <v>#define ACCESS_REG7   0x020000</v>
      </c>
    </row>
    <row r="207" spans="1:2" x14ac:dyDescent="0.25">
      <c r="B207" s="24" t="str">
        <f>"#define TEXSCB_REG"&amp;A188&amp;" (ACCESS_REG"&amp;A188&amp;" | SHARE_REG"&amp;A188&amp;")"</f>
        <v>#define TEXSCB_REG7 (ACCESS_REG7 | SHARE_REG7)</v>
      </c>
    </row>
    <row r="208" spans="1:2" x14ac:dyDescent="0.25">
      <c r="B208" s="24"/>
    </row>
    <row r="209" spans="2:2" x14ac:dyDescent="0.25">
      <c r="B209" s="24" t="s">
        <v>0</v>
      </c>
    </row>
    <row r="210" spans="2:2" x14ac:dyDescent="0.25">
      <c r="B210" s="24" t="s">
        <v>236</v>
      </c>
    </row>
    <row r="211" spans="2:2" x14ac:dyDescent="0.25">
      <c r="B211" s="24" t="s">
        <v>0</v>
      </c>
    </row>
    <row r="212" spans="2:2" x14ac:dyDescent="0.25">
      <c r="B212" s="24" t="s">
        <v>204</v>
      </c>
    </row>
    <row r="213" spans="2:2" x14ac:dyDescent="0.25">
      <c r="B213" s="24" t="s">
        <v>195</v>
      </c>
    </row>
    <row r="214" spans="2:2" x14ac:dyDescent="0.25">
      <c r="B214" s="24" t="s">
        <v>222</v>
      </c>
    </row>
    <row r="215" spans="2:2" x14ac:dyDescent="0.25">
      <c r="B215" s="24" t="s">
        <v>231</v>
      </c>
    </row>
    <row r="216" spans="2:2" x14ac:dyDescent="0.25">
      <c r="B216" s="24" t="s">
        <v>254</v>
      </c>
    </row>
    <row r="217" spans="2:2" x14ac:dyDescent="0.25">
      <c r="B217" s="24"/>
    </row>
    <row r="218" spans="2:2" x14ac:dyDescent="0.25">
      <c r="B218" s="24" t="s">
        <v>232</v>
      </c>
    </row>
    <row r="219" spans="2:2" x14ac:dyDescent="0.25">
      <c r="B219" s="24" t="s">
        <v>235</v>
      </c>
    </row>
    <row r="220" spans="2:2" x14ac:dyDescent="0.25">
      <c r="B220" s="24" t="s">
        <v>233</v>
      </c>
    </row>
    <row r="221" spans="2:2" x14ac:dyDescent="0.25">
      <c r="B221" s="24" t="s">
        <v>196</v>
      </c>
    </row>
    <row r="222" spans="2:2" x14ac:dyDescent="0.25">
      <c r="B222" s="24" t="s">
        <v>197</v>
      </c>
    </row>
    <row r="223" spans="2:2" x14ac:dyDescent="0.25">
      <c r="B223" s="24" t="s">
        <v>223</v>
      </c>
    </row>
    <row r="224" spans="2:2" x14ac:dyDescent="0.25">
      <c r="B224" s="24" t="s">
        <v>206</v>
      </c>
    </row>
    <row r="225" spans="2:2" x14ac:dyDescent="0.25">
      <c r="B225" s="24" t="s">
        <v>198</v>
      </c>
    </row>
    <row r="226" spans="2:2" x14ac:dyDescent="0.25">
      <c r="B226" s="24" t="s">
        <v>224</v>
      </c>
    </row>
    <row r="227" spans="2:2" x14ac:dyDescent="0.25">
      <c r="B227" s="24" t="s">
        <v>207</v>
      </c>
    </row>
    <row r="228" spans="2:2" x14ac:dyDescent="0.25">
      <c r="B228" s="24" t="s">
        <v>198</v>
      </c>
    </row>
    <row r="229" spans="2:2" x14ac:dyDescent="0.25">
      <c r="B229" s="24" t="s">
        <v>225</v>
      </c>
    </row>
    <row r="230" spans="2:2" x14ac:dyDescent="0.25">
      <c r="B230" s="24" t="s">
        <v>208</v>
      </c>
    </row>
    <row r="231" spans="2:2" x14ac:dyDescent="0.25">
      <c r="B231" s="24" t="s">
        <v>198</v>
      </c>
    </row>
    <row r="232" spans="2:2" x14ac:dyDescent="0.25">
      <c r="B232" s="24" t="s">
        <v>226</v>
      </c>
    </row>
    <row r="233" spans="2:2" x14ac:dyDescent="0.25">
      <c r="B233" s="24" t="s">
        <v>209</v>
      </c>
    </row>
    <row r="234" spans="2:2" x14ac:dyDescent="0.25">
      <c r="B234" s="24" t="s">
        <v>198</v>
      </c>
    </row>
    <row r="235" spans="2:2" x14ac:dyDescent="0.25">
      <c r="B235" s="24" t="s">
        <v>227</v>
      </c>
    </row>
    <row r="236" spans="2:2" x14ac:dyDescent="0.25">
      <c r="B236" s="24" t="s">
        <v>210</v>
      </c>
    </row>
    <row r="237" spans="2:2" x14ac:dyDescent="0.25">
      <c r="B237" s="24" t="s">
        <v>198</v>
      </c>
    </row>
    <row r="238" spans="2:2" x14ac:dyDescent="0.25">
      <c r="B238" s="24" t="s">
        <v>228</v>
      </c>
    </row>
    <row r="239" spans="2:2" x14ac:dyDescent="0.25">
      <c r="B239" s="24" t="s">
        <v>211</v>
      </c>
    </row>
    <row r="240" spans="2:2" x14ac:dyDescent="0.25">
      <c r="B240" s="24" t="s">
        <v>198</v>
      </c>
    </row>
    <row r="241" spans="2:2" x14ac:dyDescent="0.25">
      <c r="B241" s="24" t="s">
        <v>229</v>
      </c>
    </row>
    <row r="242" spans="2:2" x14ac:dyDescent="0.25">
      <c r="B242" s="24" t="s">
        <v>212</v>
      </c>
    </row>
    <row r="243" spans="2:2" x14ac:dyDescent="0.25">
      <c r="B243" s="24" t="s">
        <v>198</v>
      </c>
    </row>
    <row r="244" spans="2:2" x14ac:dyDescent="0.25">
      <c r="B244" s="24" t="s">
        <v>230</v>
      </c>
    </row>
    <row r="245" spans="2:2" x14ac:dyDescent="0.25">
      <c r="B245" s="24" t="s">
        <v>213</v>
      </c>
    </row>
    <row r="246" spans="2:2" x14ac:dyDescent="0.25">
      <c r="B246" s="24" t="s">
        <v>198</v>
      </c>
    </row>
    <row r="247" spans="2:2" x14ac:dyDescent="0.25">
      <c r="B247" s="24" t="s">
        <v>199</v>
      </c>
    </row>
    <row r="248" spans="2:2" x14ac:dyDescent="0.25">
      <c r="B248" s="24" t="s">
        <v>200</v>
      </c>
    </row>
    <row r="249" spans="2:2" x14ac:dyDescent="0.25">
      <c r="B249" s="24" t="s">
        <v>201</v>
      </c>
    </row>
    <row r="250" spans="2:2" x14ac:dyDescent="0.25">
      <c r="B250" s="24" t="s">
        <v>202</v>
      </c>
    </row>
    <row r="251" spans="2:2" x14ac:dyDescent="0.25">
      <c r="B251" s="24" t="s">
        <v>234</v>
      </c>
    </row>
    <row r="252" spans="2:2" x14ac:dyDescent="0.25">
      <c r="B252" s="24"/>
    </row>
    <row r="253" spans="2:2" x14ac:dyDescent="0.25">
      <c r="B253" s="24" t="s">
        <v>255</v>
      </c>
    </row>
    <row r="254" spans="2:2" x14ac:dyDescent="0.25">
      <c r="B254" s="24" t="s">
        <v>257</v>
      </c>
    </row>
    <row r="255" spans="2:2" x14ac:dyDescent="0.25">
      <c r="B255" s="24" t="s">
        <v>182</v>
      </c>
    </row>
    <row r="256" spans="2:2" x14ac:dyDescent="0.25">
      <c r="B256" s="24"/>
    </row>
    <row r="257" spans="2:2" x14ac:dyDescent="0.25">
      <c r="B257" s="24" t="s">
        <v>203</v>
      </c>
    </row>
    <row r="258" spans="2:2" hidden="1" x14ac:dyDescent="0.25">
      <c r="B258" s="25" t="s">
        <v>215</v>
      </c>
    </row>
    <row r="259" spans="2:2" hidden="1" x14ac:dyDescent="0.25">
      <c r="B259" s="25" t="s">
        <v>66</v>
      </c>
    </row>
    <row r="260" spans="2:2" hidden="1" x14ac:dyDescent="0.25">
      <c r="B260" s="25" t="s">
        <v>67</v>
      </c>
    </row>
    <row r="261" spans="2:2" hidden="1" x14ac:dyDescent="0.25">
      <c r="B261" s="25" t="s">
        <v>68</v>
      </c>
    </row>
    <row r="262" spans="2:2" hidden="1" x14ac:dyDescent="0.25">
      <c r="B262" s="25" t="s">
        <v>69</v>
      </c>
    </row>
    <row r="263" spans="2:2" hidden="1" x14ac:dyDescent="0.25">
      <c r="B263" s="25" t="s">
        <v>70</v>
      </c>
    </row>
    <row r="264" spans="2:2" hidden="1" x14ac:dyDescent="0.25">
      <c r="B264" s="25" t="s">
        <v>71</v>
      </c>
    </row>
    <row r="265" spans="2:2" hidden="1" x14ac:dyDescent="0.25">
      <c r="B265" s="25" t="s">
        <v>72</v>
      </c>
    </row>
    <row r="266" spans="2:2" hidden="1" x14ac:dyDescent="0.25">
      <c r="B266" s="25" t="s">
        <v>73</v>
      </c>
    </row>
    <row r="267" spans="2:2" hidden="1" x14ac:dyDescent="0.25">
      <c r="B267" s="25" t="s">
        <v>74</v>
      </c>
    </row>
    <row r="268" spans="2:2" hidden="1" x14ac:dyDescent="0.25">
      <c r="B268" s="25" t="s">
        <v>75</v>
      </c>
    </row>
    <row r="269" spans="2:2" hidden="1" x14ac:dyDescent="0.25">
      <c r="B269" s="25" t="s">
        <v>76</v>
      </c>
    </row>
    <row r="270" spans="2:2" hidden="1" x14ac:dyDescent="0.25">
      <c r="B270" s="25" t="s">
        <v>77</v>
      </c>
    </row>
    <row r="271" spans="2:2" hidden="1" x14ac:dyDescent="0.25">
      <c r="B271" s="25" t="s">
        <v>78</v>
      </c>
    </row>
    <row r="272" spans="2:2" hidden="1" x14ac:dyDescent="0.25">
      <c r="B272" s="25" t="s">
        <v>79</v>
      </c>
    </row>
    <row r="273" spans="2:2" hidden="1" x14ac:dyDescent="0.25">
      <c r="B273" s="25" t="s">
        <v>80</v>
      </c>
    </row>
    <row r="274" spans="2:2" hidden="1" x14ac:dyDescent="0.25">
      <c r="B274" s="25" t="s">
        <v>81</v>
      </c>
    </row>
    <row r="275" spans="2:2" hidden="1" x14ac:dyDescent="0.25">
      <c r="B275" s="25" t="s">
        <v>82</v>
      </c>
    </row>
    <row r="276" spans="2:2" hidden="1" x14ac:dyDescent="0.25">
      <c r="B276" s="25" t="s">
        <v>83</v>
      </c>
    </row>
    <row r="277" spans="2:2" hidden="1" x14ac:dyDescent="0.25">
      <c r="B277" s="25" t="s">
        <v>84</v>
      </c>
    </row>
    <row r="278" spans="2:2" hidden="1" x14ac:dyDescent="0.25">
      <c r="B278" s="25" t="s">
        <v>85</v>
      </c>
    </row>
    <row r="279" spans="2:2" hidden="1" x14ac:dyDescent="0.25">
      <c r="B279" s="25" t="s">
        <v>86</v>
      </c>
    </row>
    <row r="280" spans="2:2" hidden="1" x14ac:dyDescent="0.25">
      <c r="B280" s="25" t="s">
        <v>87</v>
      </c>
    </row>
    <row r="281" spans="2:2" hidden="1" x14ac:dyDescent="0.25">
      <c r="B281" s="25" t="s">
        <v>88</v>
      </c>
    </row>
    <row r="282" spans="2:2" hidden="1" x14ac:dyDescent="0.25">
      <c r="B282" s="25" t="s">
        <v>89</v>
      </c>
    </row>
    <row r="283" spans="2:2" hidden="1" x14ac:dyDescent="0.25">
      <c r="B283" s="25" t="s">
        <v>90</v>
      </c>
    </row>
    <row r="284" spans="2:2" hidden="1" x14ac:dyDescent="0.25">
      <c r="B284" s="25" t="s">
        <v>91</v>
      </c>
    </row>
    <row r="285" spans="2:2" hidden="1" x14ac:dyDescent="0.25">
      <c r="B285" s="25" t="s">
        <v>92</v>
      </c>
    </row>
    <row r="286" spans="2:2" hidden="1" x14ac:dyDescent="0.25">
      <c r="B286" s="25" t="s">
        <v>216</v>
      </c>
    </row>
    <row r="287" spans="2:2" x14ac:dyDescent="0.25">
      <c r="B287" s="25"/>
    </row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CONFIG</vt:lpstr>
      <vt:lpstr>CODE_KEIL</vt:lpstr>
      <vt:lpstr>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Remo Markgraf</dc:creator>
  <cp:lastModifiedBy>Remo Markgraf</cp:lastModifiedBy>
  <cp:lastPrinted>2025-02-27T01:22:38Z</cp:lastPrinted>
  <dcterms:created xsi:type="dcterms:W3CDTF">2025-02-25T11:26:17Z</dcterms:created>
  <dcterms:modified xsi:type="dcterms:W3CDTF">2025-03-04T11:23:01Z</dcterms:modified>
</cp:coreProperties>
</file>