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drawings/drawing2.xml" ContentType="application/vnd.openxmlformats-officedocument.drawing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trlProps/ctrlProp275.xml" ContentType="application/vnd.ms-excel.controlproperties+xml"/>
  <Override PartName="/xl/ctrlProps/ctrlProp276.xml" ContentType="application/vnd.ms-excel.controlproperties+xml"/>
  <Override PartName="/xl/ctrlProps/ctrlProp277.xml" ContentType="application/vnd.ms-excel.controlproperties+xml"/>
  <Override PartName="/xl/ctrlProps/ctrlProp278.xml" ContentType="application/vnd.ms-excel.controlproperties+xml"/>
  <Override PartName="/xl/ctrlProps/ctrlProp279.xml" ContentType="application/vnd.ms-excel.controlproperties+xml"/>
  <Override PartName="/xl/ctrlProps/ctrlProp280.xml" ContentType="application/vnd.ms-excel.controlproperties+xml"/>
  <Override PartName="/xl/ctrlProps/ctrlProp281.xml" ContentType="application/vnd.ms-excel.controlproperties+xml"/>
  <Override PartName="/xl/ctrlProps/ctrlProp282.xml" ContentType="application/vnd.ms-excel.controlproperties+xml"/>
  <Override PartName="/xl/ctrlProps/ctrlProp283.xml" ContentType="application/vnd.ms-excel.controlproperties+xml"/>
  <Override PartName="/xl/ctrlProps/ctrlProp284.xml" ContentType="application/vnd.ms-excel.controlproperties+xml"/>
  <Override PartName="/xl/ctrlProps/ctrlProp285.xml" ContentType="application/vnd.ms-excel.controlproperties+xml"/>
  <Override PartName="/xl/ctrlProps/ctrlProp286.xml" ContentType="application/vnd.ms-excel.controlproperties+xml"/>
  <Override PartName="/xl/ctrlProps/ctrlProp287.xml" ContentType="application/vnd.ms-excel.controlproperties+xml"/>
  <Override PartName="/xl/ctrlProps/ctrlProp288.xml" ContentType="application/vnd.ms-excel.controlproperties+xml"/>
  <Override PartName="/xl/ctrlProps/ctrlProp289.xml" ContentType="application/vnd.ms-excel.controlproperties+xml"/>
  <Override PartName="/xl/ctrlProps/ctrlProp290.xml" ContentType="application/vnd.ms-excel.controlproperties+xml"/>
  <Override PartName="/xl/ctrlProps/ctrlProp291.xml" ContentType="application/vnd.ms-excel.controlproperties+xml"/>
  <Override PartName="/xl/ctrlProps/ctrlProp292.xml" ContentType="application/vnd.ms-excel.controlproperties+xml"/>
  <Override PartName="/xl/ctrlProps/ctrlProp293.xml" ContentType="application/vnd.ms-excel.controlproperties+xml"/>
  <Override PartName="/xl/ctrlProps/ctrlProp294.xml" ContentType="application/vnd.ms-excel.controlproperties+xml"/>
  <Override PartName="/xl/ctrlProps/ctrlProp295.xml" ContentType="application/vnd.ms-excel.controlproperties+xml"/>
  <Override PartName="/xl/ctrlProps/ctrlProp296.xml" ContentType="application/vnd.ms-excel.controlproperties+xml"/>
  <Override PartName="/xl/ctrlProps/ctrlProp297.xml" ContentType="application/vnd.ms-excel.controlproperties+xml"/>
  <Override PartName="/xl/ctrlProps/ctrlProp298.xml" ContentType="application/vnd.ms-excel.controlproperties+xml"/>
  <Override PartName="/xl/ctrlProps/ctrlProp299.xml" ContentType="application/vnd.ms-excel.controlproperties+xml"/>
  <Override PartName="/xl/ctrlProps/ctrlProp300.xml" ContentType="application/vnd.ms-excel.controlproperties+xml"/>
  <Override PartName="/xl/ctrlProps/ctrlProp301.xml" ContentType="application/vnd.ms-excel.controlproperties+xml"/>
  <Override PartName="/xl/ctrlProps/ctrlProp302.xml" ContentType="application/vnd.ms-excel.controlproperties+xml"/>
  <Override PartName="/xl/ctrlProps/ctrlProp303.xml" ContentType="application/vnd.ms-excel.controlproperties+xml"/>
  <Override PartName="/xl/ctrlProps/ctrlProp304.xml" ContentType="application/vnd.ms-excel.controlproperties+xml"/>
  <Override PartName="/xl/ctrlProps/ctrlProp305.xml" ContentType="application/vnd.ms-excel.controlproperties+xml"/>
  <Override PartName="/xl/ctrlProps/ctrlProp306.xml" ContentType="application/vnd.ms-excel.controlproperties+xml"/>
  <Override PartName="/xl/ctrlProps/ctrlProp307.xml" ContentType="application/vnd.ms-excel.controlproperties+xml"/>
  <Override PartName="/xl/ctrlProps/ctrlProp308.xml" ContentType="application/vnd.ms-excel.controlproperties+xml"/>
  <Override PartName="/xl/ctrlProps/ctrlProp309.xml" ContentType="application/vnd.ms-excel.controlproperties+xml"/>
  <Override PartName="/xl/ctrlProps/ctrlProp310.xml" ContentType="application/vnd.ms-excel.controlproperties+xml"/>
  <Override PartName="/xl/ctrlProps/ctrlProp311.xml" ContentType="application/vnd.ms-excel.controlproperties+xml"/>
  <Override PartName="/xl/ctrlProps/ctrlProp312.xml" ContentType="application/vnd.ms-excel.controlproperties+xml"/>
  <Override PartName="/xl/ctrlProps/ctrlProp313.xml" ContentType="application/vnd.ms-excel.controlproperties+xml"/>
  <Override PartName="/xl/ctrlProps/ctrlProp314.xml" ContentType="application/vnd.ms-excel.controlproperties+xml"/>
  <Override PartName="/xl/ctrlProps/ctrlProp315.xml" ContentType="application/vnd.ms-excel.controlproperties+xml"/>
  <Override PartName="/xl/ctrlProps/ctrlProp316.xml" ContentType="application/vnd.ms-excel.controlproperties+xml"/>
  <Override PartName="/xl/ctrlProps/ctrlProp317.xml" ContentType="application/vnd.ms-excel.controlproperties+xml"/>
  <Override PartName="/xl/ctrlProps/ctrlProp318.xml" ContentType="application/vnd.ms-excel.controlproperties+xml"/>
  <Override PartName="/xl/ctrlProps/ctrlProp319.xml" ContentType="application/vnd.ms-excel.controlproperties+xml"/>
  <Override PartName="/xl/ctrlProps/ctrlProp320.xml" ContentType="application/vnd.ms-excel.controlproperties+xml"/>
  <Override PartName="/xl/ctrlProps/ctrlProp321.xml" ContentType="application/vnd.ms-excel.controlproperties+xml"/>
  <Override PartName="/xl/ctrlProps/ctrlProp322.xml" ContentType="application/vnd.ms-excel.controlproperties+xml"/>
  <Override PartName="/xl/ctrlProps/ctrlProp323.xml" ContentType="application/vnd.ms-excel.controlproperties+xml"/>
  <Override PartName="/xl/ctrlProps/ctrlProp324.xml" ContentType="application/vnd.ms-excel.controlproperties+xml"/>
  <Override PartName="/xl/ctrlProps/ctrlProp325.xml" ContentType="application/vnd.ms-excel.controlproperties+xml"/>
  <Override PartName="/xl/ctrlProps/ctrlProp326.xml" ContentType="application/vnd.ms-excel.controlproperties+xml"/>
  <Override PartName="/xl/ctrlProps/ctrlProp327.xml" ContentType="application/vnd.ms-excel.controlproperties+xml"/>
  <Override PartName="/xl/ctrlProps/ctrlProp328.xml" ContentType="application/vnd.ms-excel.controlproperties+xml"/>
  <Override PartName="/xl/ctrlProps/ctrlProp329.xml" ContentType="application/vnd.ms-excel.controlproperties+xml"/>
  <Override PartName="/xl/ctrlProps/ctrlProp330.xml" ContentType="application/vnd.ms-excel.controlproperties+xml"/>
  <Override PartName="/xl/ctrlProps/ctrlProp331.xml" ContentType="application/vnd.ms-excel.controlproperties+xml"/>
  <Override PartName="/xl/ctrlProps/ctrlProp332.xml" ContentType="application/vnd.ms-excel.controlproperties+xml"/>
  <Override PartName="/xl/ctrlProps/ctrlProp333.xml" ContentType="application/vnd.ms-excel.controlproperties+xml"/>
  <Override PartName="/xl/ctrlProps/ctrlProp334.xml" ContentType="application/vnd.ms-excel.controlproperties+xml"/>
  <Override PartName="/xl/ctrlProps/ctrlProp335.xml" ContentType="application/vnd.ms-excel.controlproperties+xml"/>
  <Override PartName="/xl/ctrlProps/ctrlProp336.xml" ContentType="application/vnd.ms-excel.controlproperties+xml"/>
  <Override PartName="/xl/ctrlProps/ctrlProp337.xml" ContentType="application/vnd.ms-excel.controlproperties+xml"/>
  <Override PartName="/xl/ctrlProps/ctrlProp338.xml" ContentType="application/vnd.ms-excel.controlproperties+xml"/>
  <Override PartName="/xl/ctrlProps/ctrlProp339.xml" ContentType="application/vnd.ms-excel.controlproperties+xml"/>
  <Override PartName="/xl/ctrlProps/ctrlProp340.xml" ContentType="application/vnd.ms-excel.controlproperties+xml"/>
  <Override PartName="/xl/ctrlProps/ctrlProp341.xml" ContentType="application/vnd.ms-excel.controlproperties+xml"/>
  <Override PartName="/xl/ctrlProps/ctrlProp342.xml" ContentType="application/vnd.ms-excel.controlproperties+xml"/>
  <Override PartName="/xl/ctrlProps/ctrlProp343.xml" ContentType="application/vnd.ms-excel.controlproperties+xml"/>
  <Override PartName="/xl/ctrlProps/ctrlProp344.xml" ContentType="application/vnd.ms-excel.controlproperties+xml"/>
  <Override PartName="/xl/ctrlProps/ctrlProp345.xml" ContentType="application/vnd.ms-excel.controlproperties+xml"/>
  <Override PartName="/xl/ctrlProps/ctrlProp346.xml" ContentType="application/vnd.ms-excel.controlproperties+xml"/>
  <Override PartName="/xl/ctrlProps/ctrlProp347.xml" ContentType="application/vnd.ms-excel.controlproperties+xml"/>
  <Override PartName="/xl/ctrlProps/ctrlProp348.xml" ContentType="application/vnd.ms-excel.controlproperties+xml"/>
  <Override PartName="/xl/ctrlProps/ctrlProp349.xml" ContentType="application/vnd.ms-excel.controlproperties+xml"/>
  <Override PartName="/xl/ctrlProps/ctrlProp350.xml" ContentType="application/vnd.ms-excel.controlproperties+xml"/>
  <Override PartName="/xl/ctrlProps/ctrlProp351.xml" ContentType="application/vnd.ms-excel.controlproperties+xml"/>
  <Override PartName="/xl/ctrlProps/ctrlProp352.xml" ContentType="application/vnd.ms-excel.controlproperties+xml"/>
  <Override PartName="/xl/ctrlProps/ctrlProp353.xml" ContentType="application/vnd.ms-excel.controlproperties+xml"/>
  <Override PartName="/xl/ctrlProps/ctrlProp354.xml" ContentType="application/vnd.ms-excel.controlproperties+xml"/>
  <Override PartName="/xl/ctrlProps/ctrlProp355.xml" ContentType="application/vnd.ms-excel.controlproperties+xml"/>
  <Override PartName="/xl/ctrlProps/ctrlProp356.xml" ContentType="application/vnd.ms-excel.controlproperties+xml"/>
  <Override PartName="/xl/ctrlProps/ctrlProp357.xml" ContentType="application/vnd.ms-excel.controlproperties+xml"/>
  <Override PartName="/xl/ctrlProps/ctrlProp358.xml" ContentType="application/vnd.ms-excel.controlproperties+xml"/>
  <Override PartName="/xl/ctrlProps/ctrlProp359.xml" ContentType="application/vnd.ms-excel.controlproperties+xml"/>
  <Override PartName="/xl/ctrlProps/ctrlProp360.xml" ContentType="application/vnd.ms-excel.controlproperties+xml"/>
  <Override PartName="/xl/ctrlProps/ctrlProp361.xml" ContentType="application/vnd.ms-excel.controlproperties+xml"/>
  <Override PartName="/xl/ctrlProps/ctrlProp362.xml" ContentType="application/vnd.ms-excel.controlproperties+xml"/>
  <Override PartName="/xl/ctrlProps/ctrlProp363.xml" ContentType="application/vnd.ms-excel.controlproperties+xml"/>
  <Override PartName="/xl/ctrlProps/ctrlProp364.xml" ContentType="application/vnd.ms-excel.controlproperties+xml"/>
  <Override PartName="/xl/ctrlProps/ctrlProp365.xml" ContentType="application/vnd.ms-excel.controlproperties+xml"/>
  <Override PartName="/xl/ctrlProps/ctrlProp366.xml" ContentType="application/vnd.ms-excel.controlproperties+xml"/>
  <Override PartName="/xl/ctrlProps/ctrlProp367.xml" ContentType="application/vnd.ms-excel.controlproperties+xml"/>
  <Override PartName="/xl/ctrlProps/ctrlProp368.xml" ContentType="application/vnd.ms-excel.controlproperties+xml"/>
  <Override PartName="/xl/ctrlProps/ctrlProp369.xml" ContentType="application/vnd.ms-excel.controlproperties+xml"/>
  <Override PartName="/xl/ctrlProps/ctrlProp370.xml" ContentType="application/vnd.ms-excel.controlproperties+xml"/>
  <Override PartName="/xl/ctrlProps/ctrlProp371.xml" ContentType="application/vnd.ms-excel.controlproperties+xml"/>
  <Override PartName="/xl/ctrlProps/ctrlProp372.xml" ContentType="application/vnd.ms-excel.controlproperties+xml"/>
  <Override PartName="/xl/ctrlProps/ctrlProp373.xml" ContentType="application/vnd.ms-excel.controlproperties+xml"/>
  <Override PartName="/xl/ctrlProps/ctrlProp374.xml" ContentType="application/vnd.ms-excel.controlproperties+xml"/>
  <Override PartName="/xl/ctrlProps/ctrlProp375.xml" ContentType="application/vnd.ms-excel.controlproperties+xml"/>
  <Override PartName="/xl/ctrlProps/ctrlProp376.xml" ContentType="application/vnd.ms-excel.controlproperties+xml"/>
  <Override PartName="/xl/ctrlProps/ctrlProp377.xml" ContentType="application/vnd.ms-excel.controlproperties+xml"/>
  <Override PartName="/xl/ctrlProps/ctrlProp378.xml" ContentType="application/vnd.ms-excel.controlproperties+xml"/>
  <Override PartName="/xl/ctrlProps/ctrlProp379.xml" ContentType="application/vnd.ms-excel.controlproperties+xml"/>
  <Override PartName="/xl/ctrlProps/ctrlProp380.xml" ContentType="application/vnd.ms-excel.controlproperties+xml"/>
  <Override PartName="/xl/ctrlProps/ctrlProp381.xml" ContentType="application/vnd.ms-excel.controlproperties+xml"/>
  <Override PartName="/xl/ctrlProps/ctrlProp382.xml" ContentType="application/vnd.ms-excel.controlproperties+xml"/>
  <Override PartName="/xl/ctrlProps/ctrlProp383.xml" ContentType="application/vnd.ms-excel.controlproperties+xml"/>
  <Override PartName="/xl/ctrlProps/ctrlProp384.xml" ContentType="application/vnd.ms-excel.controlproperties+xml"/>
  <Override PartName="/xl/ctrlProps/ctrlProp385.xml" ContentType="application/vnd.ms-excel.controlproperties+xml"/>
  <Override PartName="/xl/ctrlProps/ctrlProp386.xml" ContentType="application/vnd.ms-excel.controlproperties+xml"/>
  <Override PartName="/xl/ctrlProps/ctrlProp387.xml" ContentType="application/vnd.ms-excel.controlproperties+xml"/>
  <Override PartName="/xl/ctrlProps/ctrlProp388.xml" ContentType="application/vnd.ms-excel.controlproperties+xml"/>
  <Override PartName="/xl/ctrlProps/ctrlProp389.xml" ContentType="application/vnd.ms-excel.controlproperties+xml"/>
  <Override PartName="/xl/ctrlProps/ctrlProp390.xml" ContentType="application/vnd.ms-excel.controlproperties+xml"/>
  <Override PartName="/xl/ctrlProps/ctrlProp391.xml" ContentType="application/vnd.ms-excel.controlproperties+xml"/>
  <Override PartName="/xl/ctrlProps/ctrlProp392.xml" ContentType="application/vnd.ms-excel.controlproperties+xml"/>
  <Override PartName="/xl/ctrlProps/ctrlProp393.xml" ContentType="application/vnd.ms-excel.controlproperties+xml"/>
  <Override PartName="/xl/ctrlProps/ctrlProp394.xml" ContentType="application/vnd.ms-excel.controlproperties+xml"/>
  <Override PartName="/xl/ctrlProps/ctrlProp395.xml" ContentType="application/vnd.ms-excel.controlproperties+xml"/>
  <Override PartName="/xl/ctrlProps/ctrlProp396.xml" ContentType="application/vnd.ms-excel.controlproperties+xml"/>
  <Override PartName="/xl/ctrlProps/ctrlProp397.xml" ContentType="application/vnd.ms-excel.controlproperties+xml"/>
  <Override PartName="/xl/ctrlProps/ctrlProp398.xml" ContentType="application/vnd.ms-excel.controlproperties+xml"/>
  <Override PartName="/xl/ctrlProps/ctrlProp399.xml" ContentType="application/vnd.ms-excel.controlproperties+xml"/>
  <Override PartName="/xl/ctrlProps/ctrlProp400.xml" ContentType="application/vnd.ms-excel.controlproperties+xml"/>
  <Override PartName="/xl/ctrlProps/ctrlProp401.xml" ContentType="application/vnd.ms-excel.controlproperties+xml"/>
  <Override PartName="/xl/ctrlProps/ctrlProp402.xml" ContentType="application/vnd.ms-excel.controlproperties+xml"/>
  <Override PartName="/xl/ctrlProps/ctrlProp403.xml" ContentType="application/vnd.ms-excel.controlproperties+xml"/>
  <Override PartName="/xl/ctrlProps/ctrlProp404.xml" ContentType="application/vnd.ms-excel.controlproperties+xml"/>
  <Override PartName="/xl/ctrlProps/ctrlProp405.xml" ContentType="application/vnd.ms-excel.controlproperties+xml"/>
  <Override PartName="/xl/ctrlProps/ctrlProp406.xml" ContentType="application/vnd.ms-excel.controlproperties+xml"/>
  <Override PartName="/xl/ctrlProps/ctrlProp407.xml" ContentType="application/vnd.ms-excel.controlproperties+xml"/>
  <Override PartName="/xl/ctrlProps/ctrlProp408.xml" ContentType="application/vnd.ms-excel.controlproperties+xml"/>
  <Override PartName="/xl/ctrlProps/ctrlProp409.xml" ContentType="application/vnd.ms-excel.controlproperties+xml"/>
  <Override PartName="/xl/ctrlProps/ctrlProp410.xml" ContentType="application/vnd.ms-excel.controlproperties+xml"/>
  <Override PartName="/xl/ctrlProps/ctrlProp411.xml" ContentType="application/vnd.ms-excel.controlproperties+xml"/>
  <Override PartName="/xl/ctrlProps/ctrlProp412.xml" ContentType="application/vnd.ms-excel.controlproperties+xml"/>
  <Override PartName="/xl/ctrlProps/ctrlProp413.xml" ContentType="application/vnd.ms-excel.controlproperties+xml"/>
  <Override PartName="/xl/ctrlProps/ctrlProp414.xml" ContentType="application/vnd.ms-excel.controlproperties+xml"/>
  <Override PartName="/xl/ctrlProps/ctrlProp415.xml" ContentType="application/vnd.ms-excel.controlproperties+xml"/>
  <Override PartName="/xl/ctrlProps/ctrlProp416.xml" ContentType="application/vnd.ms-excel.controlproperties+xml"/>
  <Override PartName="/xl/ctrlProps/ctrlProp417.xml" ContentType="application/vnd.ms-excel.controlproperties+xml"/>
  <Override PartName="/xl/ctrlProps/ctrlProp41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Data\TNMS\TNMS-Downloads\MPUconfigurator\armv8m\armv8m_mpu_configurator_V1_02\"/>
    </mc:Choice>
  </mc:AlternateContent>
  <xr:revisionPtr revIDLastSave="0" documentId="13_ncr:1_{31BD3953-DEE7-481E-8202-15B948DEAE50}" xr6:coauthVersionLast="47" xr6:coauthVersionMax="47" xr10:uidLastSave="{00000000-0000-0000-0000-000000000000}"/>
  <bookViews>
    <workbookView xWindow="-120" yWindow="-120" windowWidth="29040" windowHeight="15720" xr2:uid="{829A3539-6958-49F7-B86C-1CC59989F1B8}"/>
  </bookViews>
  <sheets>
    <sheet name="CONFIG" sheetId="2" r:id="rId1"/>
    <sheet name="CONFIG_NS" sheetId="6" r:id="rId2"/>
    <sheet name="CODE_KEIL" sheetId="3" r:id="rId3"/>
    <sheet name="CODE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38" i="5" l="1"/>
  <c r="B1035" i="5"/>
  <c r="B1032" i="5"/>
  <c r="B1029" i="5"/>
  <c r="B1026" i="5"/>
  <c r="B1023" i="5"/>
  <c r="B1020" i="5"/>
  <c r="B1017" i="5"/>
  <c r="B1014" i="5"/>
  <c r="B1011" i="5"/>
  <c r="B1008" i="5"/>
  <c r="B1005" i="5"/>
  <c r="B1002" i="5"/>
  <c r="B999" i="5"/>
  <c r="B996" i="5"/>
  <c r="B993" i="5"/>
  <c r="B952" i="5"/>
  <c r="B949" i="5"/>
  <c r="B946" i="5"/>
  <c r="B943" i="5"/>
  <c r="B940" i="5"/>
  <c r="B937" i="5"/>
  <c r="B934" i="5"/>
  <c r="B931" i="5"/>
  <c r="B928" i="5"/>
  <c r="B925" i="5"/>
  <c r="B922" i="5"/>
  <c r="B919" i="5"/>
  <c r="B916" i="5"/>
  <c r="B913" i="5"/>
  <c r="B910" i="5"/>
  <c r="B907" i="5"/>
  <c r="B2429" i="3"/>
  <c r="B2426" i="3"/>
  <c r="B2423" i="3"/>
  <c r="B2420" i="3"/>
  <c r="B2417" i="3"/>
  <c r="B2414" i="3"/>
  <c r="B2411" i="3"/>
  <c r="B2408" i="3"/>
  <c r="B2405" i="3"/>
  <c r="B2402" i="3"/>
  <c r="B2399" i="3"/>
  <c r="B2396" i="3"/>
  <c r="B2393" i="3"/>
  <c r="B2390" i="3"/>
  <c r="B2387" i="3"/>
  <c r="B2384" i="3"/>
  <c r="B2343" i="3"/>
  <c r="B2340" i="3"/>
  <c r="B2337" i="3"/>
  <c r="B2334" i="3"/>
  <c r="B2331" i="3"/>
  <c r="B2328" i="3"/>
  <c r="B2325" i="3"/>
  <c r="B2322" i="3"/>
  <c r="B2319" i="3"/>
  <c r="B2316" i="3"/>
  <c r="B2313" i="3"/>
  <c r="B2310" i="3"/>
  <c r="B2307" i="3"/>
  <c r="B2304" i="3"/>
  <c r="B2301" i="3"/>
  <c r="B2298" i="3"/>
  <c r="B40" i="5"/>
  <c r="B38" i="5"/>
  <c r="B451" i="5"/>
  <c r="B443" i="5"/>
  <c r="B442" i="5"/>
  <c r="B441" i="5"/>
  <c r="B1039" i="5"/>
  <c r="B1036" i="5"/>
  <c r="B1033" i="5"/>
  <c r="B1030" i="5"/>
  <c r="B1027" i="5"/>
  <c r="B1024" i="5"/>
  <c r="B1021" i="5"/>
  <c r="B1018" i="5"/>
  <c r="B1015" i="5"/>
  <c r="B1012" i="5"/>
  <c r="B1009" i="5"/>
  <c r="B1006" i="5"/>
  <c r="B1003" i="5"/>
  <c r="B1000" i="5"/>
  <c r="B997" i="5"/>
  <c r="B994" i="5"/>
  <c r="A971" i="5"/>
  <c r="A974" i="5" s="1"/>
  <c r="B974" i="5" s="1"/>
  <c r="B969" i="5"/>
  <c r="B968" i="5"/>
  <c r="B953" i="5"/>
  <c r="B950" i="5"/>
  <c r="B947" i="5"/>
  <c r="B944" i="5"/>
  <c r="B941" i="5"/>
  <c r="B938" i="5"/>
  <c r="B935" i="5"/>
  <c r="B932" i="5"/>
  <c r="B929" i="5"/>
  <c r="B926" i="5"/>
  <c r="B923" i="5"/>
  <c r="B920" i="5"/>
  <c r="B917" i="5"/>
  <c r="B914" i="5"/>
  <c r="B911" i="5"/>
  <c r="B908" i="5"/>
  <c r="A885" i="5"/>
  <c r="B886" i="5" s="1"/>
  <c r="B883" i="5"/>
  <c r="B882" i="5"/>
  <c r="B1165" i="3"/>
  <c r="B68" i="3"/>
  <c r="B258" i="5" a="1"/>
  <c r="B257" i="5" a="1"/>
  <c r="B258" i="5" l="1"/>
  <c r="B257" i="5"/>
  <c r="B972" i="5"/>
  <c r="B971" i="5"/>
  <c r="A977" i="5"/>
  <c r="B977" i="5" s="1"/>
  <c r="B975" i="5"/>
  <c r="A888" i="5"/>
  <c r="B885" i="5"/>
  <c r="B675" i="5"/>
  <c r="B673" i="5"/>
  <c r="B670" i="5"/>
  <c r="B668" i="5"/>
  <c r="B665" i="5"/>
  <c r="B663" i="5"/>
  <c r="A679" i="5"/>
  <c r="A702" i="5" s="1"/>
  <c r="A703" i="5" s="1"/>
  <c r="A704" i="5" s="1"/>
  <c r="A678" i="5"/>
  <c r="B685" i="5" s="1"/>
  <c r="B672" i="5"/>
  <c r="B667" i="5"/>
  <c r="B662" i="5"/>
  <c r="B655" i="5"/>
  <c r="A657" i="5"/>
  <c r="A658" i="5" s="1"/>
  <c r="A460" i="5"/>
  <c r="A466" i="5" s="1"/>
  <c r="A459" i="5"/>
  <c r="B446" i="5"/>
  <c r="A457" i="5"/>
  <c r="A456" i="5"/>
  <c r="A455" i="5"/>
  <c r="A454" i="5"/>
  <c r="A453" i="5"/>
  <c r="A450" i="5"/>
  <c r="A449" i="5"/>
  <c r="A448" i="5"/>
  <c r="B272" i="5"/>
  <c r="B270" i="5"/>
  <c r="B269" i="5"/>
  <c r="B267" i="5"/>
  <c r="B265" i="5"/>
  <c r="B264" i="5"/>
  <c r="B262" i="5"/>
  <c r="B260" i="5"/>
  <c r="B259" i="5"/>
  <c r="B252" i="5"/>
  <c r="B48" i="5"/>
  <c r="B43" i="5"/>
  <c r="B39" i="5"/>
  <c r="E162" i="2"/>
  <c r="E152" i="2"/>
  <c r="E142" i="2"/>
  <c r="E132" i="2"/>
  <c r="E122" i="2"/>
  <c r="E112" i="2"/>
  <c r="E102" i="2"/>
  <c r="E92" i="2"/>
  <c r="E82" i="2"/>
  <c r="E72" i="2"/>
  <c r="E62" i="2"/>
  <c r="E52" i="2"/>
  <c r="E42" i="2"/>
  <c r="E32" i="2"/>
  <c r="E22" i="2"/>
  <c r="B2344" i="3"/>
  <c r="B2341" i="3"/>
  <c r="B2338" i="3"/>
  <c r="B2335" i="3"/>
  <c r="B2332" i="3"/>
  <c r="B2329" i="3"/>
  <c r="B2326" i="3"/>
  <c r="B2323" i="3"/>
  <c r="B2320" i="3"/>
  <c r="B2317" i="3"/>
  <c r="B2314" i="3"/>
  <c r="B2311" i="3"/>
  <c r="B2308" i="3"/>
  <c r="B2305" i="3"/>
  <c r="B2299" i="3"/>
  <c r="B2302" i="3"/>
  <c r="B2274" i="3"/>
  <c r="B2273" i="3"/>
  <c r="B1862" i="3"/>
  <c r="B765" i="3"/>
  <c r="B763" i="3"/>
  <c r="B761" i="3"/>
  <c r="B760" i="3"/>
  <c r="B758" i="3"/>
  <c r="B756" i="3"/>
  <c r="B755" i="3"/>
  <c r="B753" i="3"/>
  <c r="B751" i="3"/>
  <c r="B750" i="3"/>
  <c r="B714" i="3"/>
  <c r="E62" i="6"/>
  <c r="B2430" i="3"/>
  <c r="B2427" i="3"/>
  <c r="B2424" i="3"/>
  <c r="B2421" i="3"/>
  <c r="B2418" i="3"/>
  <c r="B2415" i="3"/>
  <c r="B2412" i="3"/>
  <c r="B2409" i="3"/>
  <c r="B2406" i="3"/>
  <c r="B2403" i="3"/>
  <c r="B2400" i="3"/>
  <c r="B2397" i="3"/>
  <c r="B2394" i="3"/>
  <c r="B2391" i="3"/>
  <c r="B2388" i="3"/>
  <c r="B2385" i="3"/>
  <c r="B2360" i="3"/>
  <c r="B2359" i="3"/>
  <c r="A2362" i="3"/>
  <c r="B2363" i="3" s="1"/>
  <c r="B715" i="3"/>
  <c r="B1192" i="3"/>
  <c r="B1154" i="3"/>
  <c r="B1153" i="3"/>
  <c r="A1195" i="3"/>
  <c r="A1205" i="3" s="1"/>
  <c r="A1194" i="3"/>
  <c r="A1191" i="3"/>
  <c r="A1181" i="3"/>
  <c r="A1173" i="3"/>
  <c r="A1171" i="3"/>
  <c r="A1164" i="3"/>
  <c r="A1161" i="3"/>
  <c r="A1158" i="3"/>
  <c r="A1156" i="3"/>
  <c r="B1860" i="3"/>
  <c r="B1858" i="3"/>
  <c r="B1857" i="3"/>
  <c r="B1855" i="3"/>
  <c r="B1853" i="3"/>
  <c r="B1852" i="3"/>
  <c r="B1850" i="3"/>
  <c r="B1848" i="3"/>
  <c r="B1847" i="3"/>
  <c r="B1812" i="3"/>
  <c r="B1811" i="3"/>
  <c r="A1865" i="3"/>
  <c r="A1917" i="3" s="1"/>
  <c r="A1863" i="3"/>
  <c r="B1846" i="3"/>
  <c r="B1825" i="3"/>
  <c r="A1824" i="3"/>
  <c r="A1832" i="3" s="1"/>
  <c r="B1814" i="3"/>
  <c r="B1148" i="3"/>
  <c r="B1144" i="3"/>
  <c r="B1141" i="3"/>
  <c r="B52" i="3"/>
  <c r="B48" i="3"/>
  <c r="B45" i="3"/>
  <c r="B95" i="3"/>
  <c r="B57" i="3"/>
  <c r="B56" i="3"/>
  <c r="B157" i="2"/>
  <c r="B137" i="2"/>
  <c r="B117" i="2"/>
  <c r="B107" i="2"/>
  <c r="B97" i="2"/>
  <c r="B87" i="2"/>
  <c r="B77" i="2"/>
  <c r="B67" i="2"/>
  <c r="B57" i="2"/>
  <c r="B47" i="2"/>
  <c r="B37" i="2"/>
  <c r="B17" i="2"/>
  <c r="B7" i="2"/>
  <c r="B168" i="6"/>
  <c r="B7" i="6"/>
  <c r="C238" i="6"/>
  <c r="C228" i="6"/>
  <c r="C218" i="6"/>
  <c r="C208" i="6"/>
  <c r="C198" i="6"/>
  <c r="A177" i="6"/>
  <c r="B178" i="6" s="1"/>
  <c r="E161" i="6"/>
  <c r="E162" i="6" s="1"/>
  <c r="E160" i="6"/>
  <c r="A160" i="6"/>
  <c r="E159" i="6"/>
  <c r="A159" i="6"/>
  <c r="E151" i="6"/>
  <c r="E152" i="6" s="1"/>
  <c r="E150" i="6"/>
  <c r="A150" i="6"/>
  <c r="E149" i="6"/>
  <c r="A149" i="6"/>
  <c r="E141" i="6"/>
  <c r="E142" i="6" s="1"/>
  <c r="E140" i="6"/>
  <c r="A140" i="6"/>
  <c r="E139" i="6"/>
  <c r="A139" i="6"/>
  <c r="E131" i="6"/>
  <c r="E132" i="6" s="1"/>
  <c r="E130" i="6"/>
  <c r="A130" i="6"/>
  <c r="E129" i="6"/>
  <c r="A129" i="6"/>
  <c r="E121" i="6"/>
  <c r="E122" i="6" s="1"/>
  <c r="E120" i="6"/>
  <c r="A120" i="6"/>
  <c r="E119" i="6"/>
  <c r="A119" i="6"/>
  <c r="E111" i="6"/>
  <c r="E112" i="6" s="1"/>
  <c r="E110" i="6"/>
  <c r="A110" i="6"/>
  <c r="E109" i="6"/>
  <c r="A109" i="6"/>
  <c r="E101" i="6"/>
  <c r="E102" i="6" s="1"/>
  <c r="E100" i="6"/>
  <c r="A100" i="6"/>
  <c r="E99" i="6"/>
  <c r="A99" i="6"/>
  <c r="E91" i="6"/>
  <c r="E92" i="6" s="1"/>
  <c r="E90" i="6"/>
  <c r="A90" i="6"/>
  <c r="E89" i="6"/>
  <c r="A89" i="6"/>
  <c r="E81" i="6"/>
  <c r="E82" i="6" s="1"/>
  <c r="E80" i="6"/>
  <c r="A80" i="6"/>
  <c r="E79" i="6"/>
  <c r="A79" i="6"/>
  <c r="E71" i="6"/>
  <c r="E72" i="6" s="1"/>
  <c r="E70" i="6"/>
  <c r="A70" i="6"/>
  <c r="E69" i="6"/>
  <c r="A69" i="6"/>
  <c r="E61" i="6"/>
  <c r="E60" i="6"/>
  <c r="A60" i="6"/>
  <c r="E59" i="6"/>
  <c r="A59" i="6"/>
  <c r="E51" i="6"/>
  <c r="E52" i="6" s="1"/>
  <c r="E50" i="6"/>
  <c r="A50" i="6"/>
  <c r="E49" i="6"/>
  <c r="A49" i="6"/>
  <c r="E41" i="6"/>
  <c r="E42" i="6" s="1"/>
  <c r="E40" i="6"/>
  <c r="A40" i="6"/>
  <c r="E39" i="6"/>
  <c r="A39" i="6"/>
  <c r="E31" i="6"/>
  <c r="E32" i="6" s="1"/>
  <c r="E30" i="6"/>
  <c r="A30" i="6"/>
  <c r="E29" i="6"/>
  <c r="A29" i="6"/>
  <c r="E21" i="6"/>
  <c r="E22" i="6" s="1"/>
  <c r="E20" i="6"/>
  <c r="A20" i="6"/>
  <c r="E19" i="6"/>
  <c r="A19" i="6"/>
  <c r="A16" i="6"/>
  <c r="A26" i="6" s="1"/>
  <c r="E11" i="6"/>
  <c r="E12" i="6" s="1"/>
  <c r="E10" i="6"/>
  <c r="A10" i="6"/>
  <c r="E9" i="6"/>
  <c r="A9" i="6"/>
  <c r="A52" i="5"/>
  <c r="A276" i="5"/>
  <c r="A277" i="5" s="1"/>
  <c r="A275" i="5"/>
  <c r="B295" i="5" s="1"/>
  <c r="A254" i="5"/>
  <c r="A57" i="5"/>
  <c r="A67" i="5" s="1"/>
  <c r="A56" i="5"/>
  <c r="B61" i="5" s="1"/>
  <c r="A54" i="5"/>
  <c r="A53" i="5"/>
  <c r="A51" i="5"/>
  <c r="A50" i="5"/>
  <c r="A47" i="5"/>
  <c r="A46" i="5"/>
  <c r="A45" i="5"/>
  <c r="B717" i="3"/>
  <c r="A2276" i="3"/>
  <c r="B2277" i="3" s="1"/>
  <c r="A768" i="3"/>
  <c r="A820" i="3" s="1"/>
  <c r="A766" i="3"/>
  <c r="B749" i="3"/>
  <c r="B728" i="3"/>
  <c r="A727" i="3"/>
  <c r="A735" i="3" s="1"/>
  <c r="A742" i="3" s="1"/>
  <c r="A748" i="3" s="1"/>
  <c r="B168" i="2"/>
  <c r="A177" i="2"/>
  <c r="B178" i="2" s="1"/>
  <c r="E161" i="2"/>
  <c r="E160" i="2"/>
  <c r="A160" i="2"/>
  <c r="E159" i="2"/>
  <c r="A159" i="2"/>
  <c r="E151" i="2"/>
  <c r="E150" i="2"/>
  <c r="A150" i="2"/>
  <c r="E149" i="2"/>
  <c r="A149" i="2"/>
  <c r="E141" i="2"/>
  <c r="E140" i="2"/>
  <c r="A140" i="2"/>
  <c r="E139" i="2"/>
  <c r="A139" i="2"/>
  <c r="E131" i="2"/>
  <c r="E130" i="2"/>
  <c r="A130" i="2"/>
  <c r="E129" i="2"/>
  <c r="A129" i="2"/>
  <c r="E121" i="2"/>
  <c r="E120" i="2"/>
  <c r="A120" i="2"/>
  <c r="E119" i="2"/>
  <c r="A119" i="2"/>
  <c r="E111" i="2"/>
  <c r="E110" i="2"/>
  <c r="A110" i="2"/>
  <c r="E109" i="2"/>
  <c r="A109" i="2"/>
  <c r="E101" i="2"/>
  <c r="E100" i="2"/>
  <c r="A100" i="2"/>
  <c r="E99" i="2"/>
  <c r="A99" i="2"/>
  <c r="E91" i="2"/>
  <c r="E90" i="2"/>
  <c r="A90" i="2"/>
  <c r="E89" i="2"/>
  <c r="A89" i="2"/>
  <c r="E81" i="2"/>
  <c r="E80" i="2"/>
  <c r="A80" i="2"/>
  <c r="E79" i="2"/>
  <c r="A79" i="2"/>
  <c r="E71" i="2"/>
  <c r="E70" i="2"/>
  <c r="A70" i="2"/>
  <c r="E69" i="2"/>
  <c r="A69" i="2"/>
  <c r="E61" i="2"/>
  <c r="E60" i="2"/>
  <c r="A60" i="2"/>
  <c r="E59" i="2"/>
  <c r="A59" i="2"/>
  <c r="E51" i="2"/>
  <c r="E50" i="2"/>
  <c r="A50" i="2"/>
  <c r="E49" i="2"/>
  <c r="A49" i="2"/>
  <c r="E40" i="2"/>
  <c r="E41" i="2"/>
  <c r="A40" i="2"/>
  <c r="E39" i="2"/>
  <c r="A39" i="2"/>
  <c r="A16" i="2"/>
  <c r="A26" i="2" s="1"/>
  <c r="A36" i="2" s="1"/>
  <c r="E30" i="2"/>
  <c r="E31" i="2"/>
  <c r="A30" i="2"/>
  <c r="E29" i="2"/>
  <c r="A29" i="2"/>
  <c r="A98" i="3"/>
  <c r="A135" i="3" s="1"/>
  <c r="A97" i="3"/>
  <c r="A94" i="3"/>
  <c r="A84" i="3"/>
  <c r="A76" i="3"/>
  <c r="A74" i="3"/>
  <c r="E20" i="2"/>
  <c r="E21" i="2"/>
  <c r="A20" i="2"/>
  <c r="E19" i="2"/>
  <c r="A19" i="2"/>
  <c r="E11" i="2"/>
  <c r="E12" i="2" s="1"/>
  <c r="A10" i="2"/>
  <c r="A9" i="2"/>
  <c r="E10" i="2"/>
  <c r="E9" i="2"/>
  <c r="C228" i="2"/>
  <c r="C218" i="2"/>
  <c r="C208" i="2"/>
  <c r="C198" i="2"/>
  <c r="C238" i="2"/>
  <c r="C188" i="6"/>
  <c r="C178" i="6"/>
  <c r="C168" i="2"/>
  <c r="B460" i="5"/>
  <c r="B1191" i="3" a="1"/>
  <c r="B716" i="3"/>
  <c r="B257" i="6" a="1"/>
  <c r="B94" i="3" a="1"/>
  <c r="C178" i="2"/>
  <c r="B768" i="3"/>
  <c r="B449" i="5" a="1"/>
  <c r="B456" i="5" a="1"/>
  <c r="B1161" i="3" a="1"/>
  <c r="B52" i="5"/>
  <c r="B735" i="3" a="1"/>
  <c r="B76" i="3"/>
  <c r="B53" i="5" a="1"/>
  <c r="B57" i="5"/>
  <c r="B263" i="2" a="1"/>
  <c r="B254" i="5" a="1"/>
  <c r="B44" i="5"/>
  <c r="B260" i="2" a="1"/>
  <c r="B74" i="3" a="1"/>
  <c r="B258" i="2" a="1"/>
  <c r="B67" i="5" a="1"/>
  <c r="B656" i="5"/>
  <c r="B54" i="5" a="1"/>
  <c r="B1181" i="3" a="1"/>
  <c r="B1813" i="3"/>
  <c r="B679" i="5"/>
  <c r="B264" i="6" a="1"/>
  <c r="B259" i="2" a="1"/>
  <c r="B277" i="5" a="1"/>
  <c r="B454" i="5"/>
  <c r="B253" i="5"/>
  <c r="B262" i="6" a="1"/>
  <c r="B742" i="3" a="1"/>
  <c r="B457" i="5" a="1"/>
  <c r="B447" i="5"/>
  <c r="B1832" i="3" a="1"/>
  <c r="B1158" i="3"/>
  <c r="B261" i="2" a="1"/>
  <c r="B1173" i="3"/>
  <c r="B1205" i="3"/>
  <c r="B46" i="5" a="1"/>
  <c r="B261" i="6" a="1"/>
  <c r="B455" i="5"/>
  <c r="B1171" i="3" a="1"/>
  <c r="B47" i="5"/>
  <c r="B45" i="5"/>
  <c r="B658" i="5" a="1"/>
  <c r="C188" i="2"/>
  <c r="B727" i="3" a="1"/>
  <c r="B258" i="6" a="1"/>
  <c r="B257" i="2" a="1"/>
  <c r="B264" i="2" a="1"/>
  <c r="C168" i="6"/>
  <c r="B276" i="5"/>
  <c r="B657" i="5" a="1"/>
  <c r="B448" i="5"/>
  <c r="B450" i="5"/>
  <c r="B466" i="5" a="1"/>
  <c r="B1164" i="3"/>
  <c r="B50" i="5" a="1"/>
  <c r="B1865" i="3"/>
  <c r="B51" i="5"/>
  <c r="B84" i="3" a="1"/>
  <c r="B263" i="6" a="1"/>
  <c r="B453" i="5" a="1"/>
  <c r="B1156" i="3"/>
  <c r="B259" i="6" a="1"/>
  <c r="B260" i="6" a="1"/>
  <c r="B1824" i="3" a="1"/>
  <c r="B135" i="3" a="1"/>
  <c r="B262" i="2" a="1"/>
  <c r="B802" i="3" l="1"/>
  <c r="B812" i="3"/>
  <c r="B801" i="3"/>
  <c r="B810" i="3"/>
  <c r="B780" i="3"/>
  <c r="B803" i="3"/>
  <c r="B817" i="3"/>
  <c r="B769" i="3"/>
  <c r="B815" i="3"/>
  <c r="B767" i="3"/>
  <c r="B813" i="3"/>
  <c r="B766" i="3"/>
  <c r="B808" i="3"/>
  <c r="B807" i="3"/>
  <c r="B805" i="3"/>
  <c r="A1915" i="3"/>
  <c r="B1904" i="3"/>
  <c r="B1907" i="3"/>
  <c r="B1902" i="3"/>
  <c r="B1864" i="3"/>
  <c r="B1900" i="3"/>
  <c r="B1905" i="3"/>
  <c r="B1899" i="3"/>
  <c r="B1898" i="3"/>
  <c r="B1877" i="3"/>
  <c r="B1914" i="3"/>
  <c r="B1866" i="3"/>
  <c r="B1912" i="3"/>
  <c r="B1910" i="3"/>
  <c r="B1863" i="3"/>
  <c r="B1909" i="3"/>
  <c r="A749" i="3"/>
  <c r="B978" i="5"/>
  <c r="A472" i="5"/>
  <c r="B464" i="5"/>
  <c r="A980" i="5"/>
  <c r="A983" i="5" s="1"/>
  <c r="B1161" i="3"/>
  <c r="B1171" i="3"/>
  <c r="B1181" i="3"/>
  <c r="B1191" i="3"/>
  <c r="B1206" i="3"/>
  <c r="B1233" i="3"/>
  <c r="B1195" i="3"/>
  <c r="B1194" i="3"/>
  <c r="A1175" i="3"/>
  <c r="B889" i="5"/>
  <c r="A891" i="5"/>
  <c r="B888" i="5"/>
  <c r="B981" i="5"/>
  <c r="B980" i="5"/>
  <c r="B94" i="3"/>
  <c r="B135" i="3"/>
  <c r="B136" i="3"/>
  <c r="B109" i="3"/>
  <c r="B98" i="3"/>
  <c r="B97" i="3"/>
  <c r="B74" i="3"/>
  <c r="B84" i="3"/>
  <c r="B686" i="5"/>
  <c r="B688" i="5"/>
  <c r="B690" i="5"/>
  <c r="B678" i="5"/>
  <c r="A725" i="5"/>
  <c r="A706" i="5"/>
  <c r="A705" i="5"/>
  <c r="A707" i="5" s="1"/>
  <c r="A680" i="5"/>
  <c r="B695" i="5"/>
  <c r="B696" i="5"/>
  <c r="B698" i="5"/>
  <c r="A701" i="5"/>
  <c r="A724" i="5" s="1"/>
  <c r="B691" i="5"/>
  <c r="B693" i="5"/>
  <c r="B658" i="5"/>
  <c r="B657" i="5"/>
  <c r="A659" i="5"/>
  <c r="A660" i="5"/>
  <c r="B472" i="5"/>
  <c r="A473" i="5"/>
  <c r="A480" i="5" s="1"/>
  <c r="B466" i="5"/>
  <c r="A467" i="5"/>
  <c r="A461" i="5"/>
  <c r="A468" i="5"/>
  <c r="A462" i="5"/>
  <c r="A469" i="5"/>
  <c r="A463" i="5"/>
  <c r="A470" i="5"/>
  <c r="B288" i="5"/>
  <c r="B459" i="5"/>
  <c r="B457" i="5"/>
  <c r="B456" i="5"/>
  <c r="B453" i="5"/>
  <c r="B449" i="5"/>
  <c r="B275" i="5"/>
  <c r="B285" i="5"/>
  <c r="B287" i="5"/>
  <c r="B282" i="5"/>
  <c r="B283" i="5"/>
  <c r="B290" i="5"/>
  <c r="B292" i="5"/>
  <c r="B293" i="5"/>
  <c r="B277" i="5"/>
  <c r="B254" i="5"/>
  <c r="B56" i="5"/>
  <c r="B67" i="5"/>
  <c r="B54" i="5"/>
  <c r="B53" i="5"/>
  <c r="B50" i="5"/>
  <c r="B46" i="5"/>
  <c r="B2276" i="3"/>
  <c r="B742" i="3"/>
  <c r="B735" i="3"/>
  <c r="B727" i="3"/>
  <c r="A187" i="6"/>
  <c r="A197" i="6" s="1"/>
  <c r="B198" i="6" s="1"/>
  <c r="B27" i="6"/>
  <c r="A36" i="6"/>
  <c r="B17" i="6"/>
  <c r="B2362" i="3"/>
  <c r="A2365" i="3"/>
  <c r="A2368" i="3" s="1"/>
  <c r="A1232" i="3"/>
  <c r="A1235" i="3"/>
  <c r="A1197" i="3"/>
  <c r="A1212" i="3"/>
  <c r="A1202" i="3"/>
  <c r="A1222" i="3"/>
  <c r="A1214" i="3"/>
  <c r="A1199" i="3"/>
  <c r="A1236" i="3"/>
  <c r="B1832" i="3"/>
  <c r="B1824" i="3"/>
  <c r="A1876" i="3"/>
  <c r="A1839" i="3"/>
  <c r="A1842" i="3"/>
  <c r="A1969" i="3"/>
  <c r="A1928" i="3"/>
  <c r="B259" i="6"/>
  <c r="B260" i="6"/>
  <c r="B261" i="6"/>
  <c r="B262" i="6"/>
  <c r="B257" i="6"/>
  <c r="B263" i="6"/>
  <c r="B258" i="6"/>
  <c r="B264" i="6"/>
  <c r="A298" i="5"/>
  <c r="A321" i="5" s="1"/>
  <c r="A299" i="5"/>
  <c r="A300" i="5" s="1"/>
  <c r="A301" i="5" s="1"/>
  <c r="A278" i="5"/>
  <c r="A58" i="5"/>
  <c r="A59" i="5"/>
  <c r="A60" i="5"/>
  <c r="A69" i="5"/>
  <c r="A70" i="5"/>
  <c r="A71" i="5" s="1"/>
  <c r="A63" i="5"/>
  <c r="A64" i="5"/>
  <c r="A65" i="5"/>
  <c r="A66" i="5"/>
  <c r="A255" i="5"/>
  <c r="B264" i="2"/>
  <c r="B263" i="2"/>
  <c r="B262" i="2"/>
  <c r="B261" i="2"/>
  <c r="B260" i="2"/>
  <c r="B259" i="2"/>
  <c r="B258" i="2"/>
  <c r="B257" i="2"/>
  <c r="A2279" i="3"/>
  <c r="A831" i="3"/>
  <c r="A839" i="3" s="1"/>
  <c r="A872" i="3"/>
  <c r="A779" i="3"/>
  <c r="A818" i="3"/>
  <c r="A745" i="3"/>
  <c r="A187" i="2"/>
  <c r="B188" i="2" s="1"/>
  <c r="A197" i="2"/>
  <c r="A125" i="3"/>
  <c r="A138" i="3"/>
  <c r="A139" i="3"/>
  <c r="A46" i="2"/>
  <c r="B27" i="2"/>
  <c r="A100" i="3"/>
  <c r="A102" i="3"/>
  <c r="A105" i="3"/>
  <c r="A108" i="3"/>
  <c r="A115" i="3"/>
  <c r="A117" i="3"/>
  <c r="A67" i="3"/>
  <c r="A64" i="3"/>
  <c r="A61" i="3"/>
  <c r="A59" i="3"/>
  <c r="B1928" i="3" a="1"/>
  <c r="B1199" i="3"/>
  <c r="B1232" i="3" a="1"/>
  <c r="B117" i="3"/>
  <c r="B469" i="5" a="1"/>
  <c r="B255" i="5" a="1"/>
  <c r="B67" i="3"/>
  <c r="B1212" i="3" a="1"/>
  <c r="B1839" i="3" a="1"/>
  <c r="B1202" i="3" a="1"/>
  <c r="B299" i="5"/>
  <c r="B660" i="5" a="1"/>
  <c r="B1876" i="3" a="1"/>
  <c r="B59" i="5" a="1"/>
  <c r="B70" i="5"/>
  <c r="B278" i="5" a="1"/>
  <c r="B64" i="5"/>
  <c r="B59" i="3"/>
  <c r="B61" i="3"/>
  <c r="B105" i="3" a="1"/>
  <c r="B462" i="5" a="1"/>
  <c r="B680" i="5" a="1"/>
  <c r="B102" i="3"/>
  <c r="B65" i="5"/>
  <c r="B71" i="5"/>
  <c r="B470" i="5" a="1"/>
  <c r="B60" i="5"/>
  <c r="B64" i="3" a="1"/>
  <c r="B125" i="3" a="1"/>
  <c r="B467" i="5"/>
  <c r="B100" i="3"/>
  <c r="B58" i="5"/>
  <c r="B1175" i="3"/>
  <c r="B659" i="5" a="1"/>
  <c r="B480" i="5"/>
  <c r="B1214" i="3"/>
  <c r="B461" i="5"/>
  <c r="B108" i="3"/>
  <c r="B300" i="5" a="1"/>
  <c r="B1222" i="3" a="1"/>
  <c r="B820" i="3"/>
  <c r="B831" i="3" a="1"/>
  <c r="B468" i="5"/>
  <c r="B748" i="3" a="1"/>
  <c r="B63" i="5" a="1"/>
  <c r="B66" i="5" a="1"/>
  <c r="B473" i="5"/>
  <c r="B1197" i="3"/>
  <c r="B301" i="5" a="1"/>
  <c r="B779" i="3" a="1"/>
  <c r="B115" i="3" a="1"/>
  <c r="B1917" i="3"/>
  <c r="B463" i="5"/>
  <c r="B839" i="3" a="1"/>
  <c r="B1876" i="3" l="1"/>
  <c r="B1928" i="3"/>
  <c r="B839" i="3"/>
  <c r="B831" i="3"/>
  <c r="B779" i="3"/>
  <c r="B748" i="3"/>
  <c r="B1951" i="3"/>
  <c r="B1929" i="3"/>
  <c r="B1959" i="3"/>
  <c r="B1950" i="3"/>
  <c r="B1954" i="3"/>
  <c r="B1966" i="3"/>
  <c r="B1918" i="3"/>
  <c r="B1964" i="3"/>
  <c r="B1916" i="3"/>
  <c r="B1962" i="3"/>
  <c r="B1915" i="3"/>
  <c r="B1961" i="3"/>
  <c r="B1952" i="3"/>
  <c r="B1957" i="3"/>
  <c r="B1956" i="3"/>
  <c r="B869" i="3"/>
  <c r="B821" i="3"/>
  <c r="B819" i="3"/>
  <c r="B865" i="3"/>
  <c r="B818" i="3"/>
  <c r="B857" i="3"/>
  <c r="B853" i="3"/>
  <c r="B832" i="3"/>
  <c r="B867" i="3"/>
  <c r="B864" i="3"/>
  <c r="B862" i="3"/>
  <c r="B860" i="3"/>
  <c r="B859" i="3"/>
  <c r="B855" i="3"/>
  <c r="B854" i="3"/>
  <c r="A1967" i="3"/>
  <c r="A485" i="5"/>
  <c r="B477" i="5"/>
  <c r="B1232" i="3"/>
  <c r="B1202" i="3"/>
  <c r="B1222" i="3"/>
  <c r="B1212" i="3"/>
  <c r="B1235" i="3"/>
  <c r="B1274" i="3"/>
  <c r="B1247" i="3"/>
  <c r="B1236" i="3"/>
  <c r="A986" i="5"/>
  <c r="B984" i="5"/>
  <c r="B983" i="5"/>
  <c r="A894" i="5"/>
  <c r="B892" i="5"/>
  <c r="B891" i="5"/>
  <c r="B125" i="3"/>
  <c r="B115" i="3"/>
  <c r="B105" i="3"/>
  <c r="B138" i="3"/>
  <c r="B177" i="3"/>
  <c r="B150" i="3"/>
  <c r="B139" i="3"/>
  <c r="B64" i="3"/>
  <c r="B731" i="5"/>
  <c r="B737" i="5"/>
  <c r="A747" i="5"/>
  <c r="A770" i="5" s="1"/>
  <c r="B739" i="5"/>
  <c r="B732" i="5"/>
  <c r="B744" i="5"/>
  <c r="B742" i="5"/>
  <c r="B741" i="5"/>
  <c r="B724" i="5"/>
  <c r="B736" i="5"/>
  <c r="B734" i="5"/>
  <c r="A748" i="5"/>
  <c r="A726" i="5"/>
  <c r="A727" i="5" s="1"/>
  <c r="B660" i="5"/>
  <c r="B659" i="5"/>
  <c r="B680" i="5"/>
  <c r="A661" i="5"/>
  <c r="B721" i="5"/>
  <c r="B718" i="5"/>
  <c r="B708" i="5"/>
  <c r="B719" i="5"/>
  <c r="B701" i="5"/>
  <c r="B716" i="5"/>
  <c r="B711" i="5"/>
  <c r="B714" i="5"/>
  <c r="B713" i="5"/>
  <c r="B709" i="5"/>
  <c r="A681" i="5"/>
  <c r="A481" i="5"/>
  <c r="A474" i="5"/>
  <c r="A483" i="5"/>
  <c r="A476" i="5"/>
  <c r="A482" i="5"/>
  <c r="A475" i="5"/>
  <c r="A479" i="5"/>
  <c r="A486" i="5"/>
  <c r="B470" i="5"/>
  <c r="B462" i="5"/>
  <c r="B469" i="5"/>
  <c r="A322" i="5"/>
  <c r="A323" i="5" s="1"/>
  <c r="B255" i="5"/>
  <c r="B278" i="5"/>
  <c r="B300" i="5"/>
  <c r="B301" i="5"/>
  <c r="A344" i="5"/>
  <c r="B328" i="5"/>
  <c r="B321" i="5"/>
  <c r="B339" i="5"/>
  <c r="B338" i="5"/>
  <c r="B329" i="5"/>
  <c r="B341" i="5"/>
  <c r="B336" i="5"/>
  <c r="B334" i="5"/>
  <c r="B333" i="5"/>
  <c r="B331" i="5"/>
  <c r="B318" i="5"/>
  <c r="B316" i="5"/>
  <c r="B315" i="5"/>
  <c r="B313" i="5"/>
  <c r="B311" i="5"/>
  <c r="B310" i="5"/>
  <c r="B306" i="5"/>
  <c r="B298" i="5"/>
  <c r="B308" i="5"/>
  <c r="B305" i="5"/>
  <c r="B59" i="5"/>
  <c r="B66" i="5"/>
  <c r="B63" i="5"/>
  <c r="A82" i="5"/>
  <c r="A95" i="5" s="1"/>
  <c r="B74" i="5"/>
  <c r="B69" i="5"/>
  <c r="A2282" i="3"/>
  <c r="A2285" i="3" s="1"/>
  <c r="B2280" i="3"/>
  <c r="B2279" i="3"/>
  <c r="A78" i="3"/>
  <c r="A119" i="3"/>
  <c r="A787" i="3"/>
  <c r="B188" i="6"/>
  <c r="A207" i="6"/>
  <c r="B208" i="6" s="1"/>
  <c r="A46" i="6"/>
  <c r="B37" i="6"/>
  <c r="B2369" i="3"/>
  <c r="B2368" i="3"/>
  <c r="B2365" i="3"/>
  <c r="B2366" i="3"/>
  <c r="A2371" i="3"/>
  <c r="A1216" i="3"/>
  <c r="A1277" i="3"/>
  <c r="A1240" i="3"/>
  <c r="A1253" i="3"/>
  <c r="A1255" i="3"/>
  <c r="A1238" i="3"/>
  <c r="A1273" i="3"/>
  <c r="A1246" i="3"/>
  <c r="A1263" i="3"/>
  <c r="A1243" i="3"/>
  <c r="A1276" i="3"/>
  <c r="B1839" i="3"/>
  <c r="A1884" i="3"/>
  <c r="A2019" i="3"/>
  <c r="A1936" i="3"/>
  <c r="A2021" i="3"/>
  <c r="A1980" i="3"/>
  <c r="A1843" i="3"/>
  <c r="A1845" i="3"/>
  <c r="A217" i="6"/>
  <c r="B218" i="6" s="1"/>
  <c r="A303" i="5"/>
  <c r="A302" i="5"/>
  <c r="A280" i="5"/>
  <c r="A279" i="5"/>
  <c r="A80" i="5"/>
  <c r="A79" i="5"/>
  <c r="A72" i="5"/>
  <c r="A77" i="5"/>
  <c r="A73" i="5"/>
  <c r="A78" i="5"/>
  <c r="A76" i="5"/>
  <c r="A83" i="5"/>
  <c r="A256" i="5"/>
  <c r="A257" i="5"/>
  <c r="A870" i="3"/>
  <c r="A883" i="3"/>
  <c r="A891" i="3" s="1"/>
  <c r="A924" i="3"/>
  <c r="A746" i="3"/>
  <c r="A846" i="3"/>
  <c r="A849" i="3"/>
  <c r="B198" i="2"/>
  <c r="A207" i="2"/>
  <c r="A156" i="3"/>
  <c r="A143" i="3"/>
  <c r="A141" i="3"/>
  <c r="A180" i="3"/>
  <c r="A176" i="3"/>
  <c r="A166" i="3"/>
  <c r="A158" i="3"/>
  <c r="A149" i="3"/>
  <c r="A146" i="3"/>
  <c r="A179" i="3"/>
  <c r="A56" i="2"/>
  <c r="A66" i="2" s="1"/>
  <c r="B883" i="3" a="1"/>
  <c r="B1243" i="3" a="1"/>
  <c r="B483" i="5" a="1"/>
  <c r="B83" i="5"/>
  <c r="B661" i="5" a="1"/>
  <c r="B280" i="5" a="1"/>
  <c r="B703" i="5" a="1"/>
  <c r="B727" i="5" a="1"/>
  <c r="B79" i="5" a="1"/>
  <c r="B1216" i="3"/>
  <c r="B479" i="5" a="1"/>
  <c r="B78" i="5"/>
  <c r="B481" i="5"/>
  <c r="B891" i="3" a="1"/>
  <c r="B1253" i="3" a="1"/>
  <c r="B1273" i="3" a="1"/>
  <c r="B149" i="3"/>
  <c r="B706" i="5" a="1"/>
  <c r="B475" i="5" a="1"/>
  <c r="B80" i="5" a="1"/>
  <c r="B1969" i="3"/>
  <c r="B166" i="3" a="1"/>
  <c r="B146" i="3" a="1"/>
  <c r="B302" i="5" a="1"/>
  <c r="B787" i="3" a="1"/>
  <c r="B73" i="5"/>
  <c r="B77" i="5"/>
  <c r="B78" i="3"/>
  <c r="B176" i="3" a="1"/>
  <c r="B156" i="3" a="1"/>
  <c r="B1936" i="3" a="1"/>
  <c r="B1263" i="3" a="1"/>
  <c r="B681" i="5" a="1"/>
  <c r="B1255" i="3"/>
  <c r="B76" i="5" a="1"/>
  <c r="B476" i="5"/>
  <c r="B707" i="5" a="1"/>
  <c r="B1842" i="3" a="1"/>
  <c r="B725" i="5"/>
  <c r="B705" i="5" a="1"/>
  <c r="B1240" i="3"/>
  <c r="B143" i="3"/>
  <c r="B846" i="3" a="1"/>
  <c r="B704" i="5" a="1"/>
  <c r="B702" i="5"/>
  <c r="B158" i="3"/>
  <c r="B1246" i="3"/>
  <c r="B474" i="5"/>
  <c r="B72" i="5" a="1"/>
  <c r="B1980" i="3" a="1"/>
  <c r="B745" i="3" a="1"/>
  <c r="B279" i="5" a="1"/>
  <c r="B2021" i="3"/>
  <c r="B256" i="5" a="1"/>
  <c r="B119" i="3"/>
  <c r="B322" i="5"/>
  <c r="B141" i="3"/>
  <c r="B872" i="3"/>
  <c r="B1884" i="3" a="1"/>
  <c r="B303" i="5" a="1"/>
  <c r="B323" i="5" a="1"/>
  <c r="B482" i="5" a="1"/>
  <c r="B1238" i="3"/>
  <c r="B1884" i="3" l="1"/>
  <c r="B1842" i="3"/>
  <c r="B846" i="3"/>
  <c r="B1936" i="3"/>
  <c r="B787" i="3"/>
  <c r="B891" i="3"/>
  <c r="B883" i="3"/>
  <c r="B745" i="3"/>
  <c r="B1980" i="3"/>
  <c r="A1894" i="3"/>
  <c r="A1895" i="3" s="1"/>
  <c r="B2065" i="3"/>
  <c r="B2063" i="3"/>
  <c r="B2054" i="3"/>
  <c r="B2020" i="3"/>
  <c r="B2019" i="3"/>
  <c r="B2061" i="3"/>
  <c r="B2068" i="3"/>
  <c r="B2060" i="3"/>
  <c r="B2058" i="3"/>
  <c r="B2056" i="3"/>
  <c r="B2055" i="3"/>
  <c r="B2033" i="3"/>
  <c r="B2070" i="3"/>
  <c r="B2022" i="3"/>
  <c r="B2066" i="3"/>
  <c r="B916" i="3"/>
  <c r="B914" i="3"/>
  <c r="B906" i="3"/>
  <c r="B871" i="3"/>
  <c r="B870" i="3"/>
  <c r="B912" i="3"/>
  <c r="B905" i="3"/>
  <c r="B919" i="3"/>
  <c r="B911" i="3"/>
  <c r="B909" i="3"/>
  <c r="B907" i="3"/>
  <c r="B884" i="3"/>
  <c r="B921" i="3"/>
  <c r="B873" i="3"/>
  <c r="B917" i="3"/>
  <c r="B2018" i="3"/>
  <c r="B1970" i="3"/>
  <c r="B2002" i="3"/>
  <c r="B1981" i="3"/>
  <c r="B2016" i="3"/>
  <c r="B1968" i="3"/>
  <c r="B2014" i="3"/>
  <c r="B1967" i="3"/>
  <c r="B2013" i="3"/>
  <c r="B2011" i="3"/>
  <c r="B2009" i="3"/>
  <c r="B2008" i="3"/>
  <c r="B2006" i="3"/>
  <c r="B2004" i="3"/>
  <c r="B2003" i="3"/>
  <c r="B490" i="5"/>
  <c r="B485" i="5"/>
  <c r="A498" i="5"/>
  <c r="B1273" i="3"/>
  <c r="B1253" i="3"/>
  <c r="B1243" i="3"/>
  <c r="B1263" i="3"/>
  <c r="B1276" i="3"/>
  <c r="B1315" i="3"/>
  <c r="B1288" i="3"/>
  <c r="B1277" i="3"/>
  <c r="B895" i="5"/>
  <c r="B894" i="5"/>
  <c r="A897" i="5"/>
  <c r="B986" i="5"/>
  <c r="B987" i="5"/>
  <c r="A989" i="5"/>
  <c r="B176" i="3"/>
  <c r="B156" i="3"/>
  <c r="B146" i="3"/>
  <c r="B166" i="3"/>
  <c r="B218" i="3"/>
  <c r="B191" i="3"/>
  <c r="B180" i="3"/>
  <c r="B179" i="3"/>
  <c r="A749" i="5"/>
  <c r="A750" i="5" s="1"/>
  <c r="A752" i="5" s="1"/>
  <c r="A771" i="5"/>
  <c r="B777" i="5"/>
  <c r="B778" i="5"/>
  <c r="A793" i="5"/>
  <c r="A816" i="5" s="1"/>
  <c r="B780" i="5"/>
  <c r="B790" i="5"/>
  <c r="B788" i="5"/>
  <c r="B787" i="5"/>
  <c r="B770" i="5"/>
  <c r="B782" i="5"/>
  <c r="B785" i="5"/>
  <c r="B783" i="5"/>
  <c r="B727" i="5"/>
  <c r="A728" i="5"/>
  <c r="A729" i="5"/>
  <c r="B767" i="5"/>
  <c r="B755" i="5"/>
  <c r="B765" i="5"/>
  <c r="B764" i="5"/>
  <c r="B747" i="5"/>
  <c r="B762" i="5"/>
  <c r="B760" i="5"/>
  <c r="B759" i="5"/>
  <c r="B757" i="5"/>
  <c r="B754" i="5"/>
  <c r="B681" i="5"/>
  <c r="B661" i="5"/>
  <c r="B704" i="5"/>
  <c r="B706" i="5"/>
  <c r="B707" i="5"/>
  <c r="B703" i="5"/>
  <c r="B705" i="5"/>
  <c r="A682" i="5"/>
  <c r="A683" i="5"/>
  <c r="B483" i="5"/>
  <c r="B475" i="5"/>
  <c r="B482" i="5"/>
  <c r="B479" i="5"/>
  <c r="A492" i="5"/>
  <c r="A496" i="5"/>
  <c r="A488" i="5"/>
  <c r="A487" i="5"/>
  <c r="A493" i="5"/>
  <c r="A489" i="5"/>
  <c r="A495" i="5"/>
  <c r="A494" i="5"/>
  <c r="A499" i="5"/>
  <c r="A512" i="5" s="1"/>
  <c r="A345" i="5"/>
  <c r="A346" i="5" s="1"/>
  <c r="B256" i="5"/>
  <c r="B279" i="5"/>
  <c r="B280" i="5"/>
  <c r="B323" i="5"/>
  <c r="B302" i="5"/>
  <c r="B303" i="5"/>
  <c r="B354" i="5"/>
  <c r="B364" i="5"/>
  <c r="B356" i="5"/>
  <c r="B352" i="5"/>
  <c r="B351" i="5"/>
  <c r="B344" i="5"/>
  <c r="B362" i="5"/>
  <c r="B359" i="5"/>
  <c r="B361" i="5"/>
  <c r="B357" i="5"/>
  <c r="A367" i="5"/>
  <c r="B80" i="5"/>
  <c r="B79" i="5"/>
  <c r="B76" i="5"/>
  <c r="B72" i="5"/>
  <c r="B87" i="5"/>
  <c r="B82" i="5"/>
  <c r="B95" i="5"/>
  <c r="B100" i="5"/>
  <c r="B2285" i="3"/>
  <c r="B2286" i="3"/>
  <c r="A794" i="3"/>
  <c r="B2282" i="3"/>
  <c r="B2283" i="3"/>
  <c r="A797" i="3"/>
  <c r="B47" i="6"/>
  <c r="A56" i="6"/>
  <c r="B2372" i="3"/>
  <c r="B2371" i="3"/>
  <c r="A2374" i="3"/>
  <c r="A1257" i="3"/>
  <c r="A1294" i="3"/>
  <c r="A1304" i="3"/>
  <c r="A1314" i="3"/>
  <c r="A1287" i="3"/>
  <c r="A1284" i="3"/>
  <c r="A1318" i="3"/>
  <c r="A1281" i="3"/>
  <c r="A1296" i="3"/>
  <c r="A1279" i="3"/>
  <c r="A1317" i="3"/>
  <c r="A1891" i="3"/>
  <c r="A2288" i="3"/>
  <c r="A1943" i="3"/>
  <c r="A1946" i="3"/>
  <c r="A1988" i="3"/>
  <c r="A2073" i="3"/>
  <c r="A2032" i="3"/>
  <c r="A2071" i="3"/>
  <c r="A1846" i="3"/>
  <c r="A227" i="6"/>
  <c r="B228" i="6" s="1"/>
  <c r="A850" i="3"/>
  <c r="A852" i="3"/>
  <c r="A324" i="5"/>
  <c r="A304" i="5"/>
  <c r="A281" i="5"/>
  <c r="A108" i="5"/>
  <c r="A93" i="5"/>
  <c r="A92" i="5"/>
  <c r="A90" i="5"/>
  <c r="A86" i="5"/>
  <c r="A91" i="5"/>
  <c r="A89" i="5"/>
  <c r="A96" i="5"/>
  <c r="A84" i="5"/>
  <c r="A85" i="5"/>
  <c r="A258" i="5"/>
  <c r="A922" i="3"/>
  <c r="A935" i="3"/>
  <c r="A943" i="3" s="1"/>
  <c r="A976" i="3"/>
  <c r="A1028" i="3" s="1"/>
  <c r="A1080" i="3" s="1"/>
  <c r="A901" i="3"/>
  <c r="A898" i="3"/>
  <c r="B208" i="2"/>
  <c r="A217" i="2"/>
  <c r="A220" i="3"/>
  <c r="A197" i="3"/>
  <c r="A199" i="3"/>
  <c r="A190" i="3"/>
  <c r="A187" i="3"/>
  <c r="A184" i="3"/>
  <c r="A182" i="3"/>
  <c r="A221" i="3"/>
  <c r="A207" i="3"/>
  <c r="A217" i="3"/>
  <c r="A160" i="3"/>
  <c r="A76" i="2"/>
  <c r="B943" i="3" a="1"/>
  <c r="B495" i="5" a="1"/>
  <c r="B86" i="5"/>
  <c r="B489" i="5"/>
  <c r="B487" i="5"/>
  <c r="B199" i="3"/>
  <c r="B90" i="5"/>
  <c r="B1284" i="3" a="1"/>
  <c r="B346" i="5" a="1"/>
  <c r="B924" i="3"/>
  <c r="B493" i="5"/>
  <c r="B752" i="5" a="1"/>
  <c r="B92" i="5" a="1"/>
  <c r="B496" i="5" a="1"/>
  <c r="B794" i="3" a="1"/>
  <c r="B1314" i="3" a="1"/>
  <c r="B1281" i="3"/>
  <c r="B93" i="5" a="1"/>
  <c r="B726" i="5" a="1"/>
  <c r="B89" i="5" a="1"/>
  <c r="B1988" i="3" a="1"/>
  <c r="B1304" i="3" a="1"/>
  <c r="B492" i="5" a="1"/>
  <c r="B750" i="5" a="1"/>
  <c r="B486" i="5"/>
  <c r="B187" i="3" a="1"/>
  <c r="B729" i="5" a="1"/>
  <c r="B748" i="5"/>
  <c r="B2032" i="3" a="1"/>
  <c r="B160" i="3"/>
  <c r="B84" i="5"/>
  <c r="B1279" i="3"/>
  <c r="B91" i="5"/>
  <c r="B1287" i="3"/>
  <c r="B849" i="3" a="1"/>
  <c r="B683" i="5" a="1"/>
  <c r="B1943" i="3" a="1"/>
  <c r="B749" i="5" a="1"/>
  <c r="B1257" i="3"/>
  <c r="B207" i="3" a="1"/>
  <c r="B898" i="3" a="1"/>
  <c r="B2073" i="3"/>
  <c r="B1294" i="3" a="1"/>
  <c r="B217" i="3" a="1"/>
  <c r="B494" i="5"/>
  <c r="B281" i="5" a="1"/>
  <c r="B182" i="3"/>
  <c r="B1894" i="3" a="1"/>
  <c r="B1845" i="3" a="1"/>
  <c r="B771" i="5"/>
  <c r="B682" i="5" a="1"/>
  <c r="B304" i="5" a="1"/>
  <c r="B324" i="5" a="1"/>
  <c r="B184" i="3"/>
  <c r="B96" i="5"/>
  <c r="B1296" i="3"/>
  <c r="B345" i="5"/>
  <c r="B1891" i="3" a="1"/>
  <c r="B190" i="3"/>
  <c r="B197" i="3" a="1"/>
  <c r="B488" i="5" a="1"/>
  <c r="B85" i="5" a="1"/>
  <c r="B935" i="3" a="1"/>
  <c r="B2032" i="3" l="1"/>
  <c r="B1988" i="3"/>
  <c r="B794" i="3"/>
  <c r="B943" i="3"/>
  <c r="B935" i="3"/>
  <c r="B1894" i="3"/>
  <c r="B1891" i="3"/>
  <c r="B1943" i="3"/>
  <c r="B849" i="3"/>
  <c r="B1845" i="3"/>
  <c r="B898" i="3"/>
  <c r="B2112" i="3"/>
  <c r="B2110" i="3"/>
  <c r="B2120" i="3"/>
  <c r="B2115" i="3"/>
  <c r="B2108" i="3"/>
  <c r="B2113" i="3"/>
  <c r="B2107" i="3"/>
  <c r="B2106" i="3"/>
  <c r="B2085" i="3"/>
  <c r="B2122" i="3"/>
  <c r="B2074" i="3"/>
  <c r="B2072" i="3"/>
  <c r="B2118" i="3"/>
  <c r="B2071" i="3"/>
  <c r="B2117" i="3"/>
  <c r="A800" i="3"/>
  <c r="B963" i="3"/>
  <c r="B961" i="3"/>
  <c r="B971" i="3"/>
  <c r="B959" i="3"/>
  <c r="B958" i="3"/>
  <c r="B957" i="3"/>
  <c r="B936" i="3"/>
  <c r="B973" i="3"/>
  <c r="B925" i="3"/>
  <c r="B923" i="3"/>
  <c r="B966" i="3"/>
  <c r="B964" i="3"/>
  <c r="B969" i="3"/>
  <c r="B922" i="3"/>
  <c r="B968" i="3"/>
  <c r="A1897" i="3"/>
  <c r="A511" i="5"/>
  <c r="B503" i="5"/>
  <c r="B498" i="5"/>
  <c r="B1284" i="3"/>
  <c r="B1314" i="3"/>
  <c r="B1294" i="3"/>
  <c r="B1304" i="3"/>
  <c r="B1329" i="3"/>
  <c r="B1318" i="3"/>
  <c r="B1317" i="3"/>
  <c r="B1356" i="3"/>
  <c r="B990" i="5"/>
  <c r="B989" i="5"/>
  <c r="B897" i="5"/>
  <c r="A900" i="5"/>
  <c r="B898" i="5"/>
  <c r="B217" i="3"/>
  <c r="B187" i="3"/>
  <c r="B197" i="3"/>
  <c r="B207" i="3"/>
  <c r="B259" i="3"/>
  <c r="B232" i="3"/>
  <c r="B221" i="3"/>
  <c r="B220" i="3"/>
  <c r="B823" i="5"/>
  <c r="B829" i="5"/>
  <c r="B828" i="5"/>
  <c r="B824" i="5"/>
  <c r="B831" i="5"/>
  <c r="B836" i="5"/>
  <c r="B834" i="5"/>
  <c r="B833" i="5"/>
  <c r="B816" i="5"/>
  <c r="B826" i="5"/>
  <c r="A751" i="5"/>
  <c r="B813" i="5"/>
  <c r="B811" i="5"/>
  <c r="B810" i="5"/>
  <c r="B793" i="5"/>
  <c r="B808" i="5"/>
  <c r="B806" i="5"/>
  <c r="B805" i="5"/>
  <c r="B803" i="5"/>
  <c r="B800" i="5"/>
  <c r="B801" i="5"/>
  <c r="A794" i="5"/>
  <c r="A772" i="5"/>
  <c r="B752" i="5"/>
  <c r="B749" i="5"/>
  <c r="B729" i="5"/>
  <c r="B750" i="5"/>
  <c r="B726" i="5"/>
  <c r="A730" i="5"/>
  <c r="B683" i="5"/>
  <c r="B682" i="5"/>
  <c r="A684" i="5"/>
  <c r="A368" i="5"/>
  <c r="A391" i="5" s="1"/>
  <c r="A520" i="5"/>
  <c r="A513" i="5"/>
  <c r="A518" i="5"/>
  <c r="A521" i="5"/>
  <c r="A525" i="5"/>
  <c r="A522" i="5"/>
  <c r="A515" i="5"/>
  <c r="A514" i="5"/>
  <c r="A519" i="5"/>
  <c r="B496" i="5"/>
  <c r="B488" i="5"/>
  <c r="B492" i="5"/>
  <c r="B495" i="5"/>
  <c r="A505" i="5"/>
  <c r="A509" i="5"/>
  <c r="A502" i="5"/>
  <c r="A507" i="5"/>
  <c r="A501" i="5"/>
  <c r="A500" i="5"/>
  <c r="A506" i="5"/>
  <c r="A508" i="5"/>
  <c r="B324" i="5"/>
  <c r="B346" i="5"/>
  <c r="B281" i="5"/>
  <c r="B304" i="5"/>
  <c r="B380" i="5"/>
  <c r="B367" i="5"/>
  <c r="B379" i="5"/>
  <c r="B374" i="5"/>
  <c r="B377" i="5"/>
  <c r="B375" i="5"/>
  <c r="B382" i="5"/>
  <c r="B385" i="5"/>
  <c r="B384" i="5"/>
  <c r="B387" i="5"/>
  <c r="A390" i="5"/>
  <c r="A413" i="5" s="1"/>
  <c r="B85" i="5"/>
  <c r="B93" i="5"/>
  <c r="B89" i="5"/>
  <c r="B92" i="5"/>
  <c r="B108" i="5"/>
  <c r="B113" i="5"/>
  <c r="B2288" i="3"/>
  <c r="B2289" i="3"/>
  <c r="A798" i="3"/>
  <c r="B57" i="6"/>
  <c r="A66" i="6"/>
  <c r="B2375" i="3"/>
  <c r="B2374" i="3"/>
  <c r="A2377" i="3"/>
  <c r="A1298" i="3"/>
  <c r="A1328" i="3"/>
  <c r="A1359" i="3"/>
  <c r="A1337" i="3"/>
  <c r="A1345" i="3"/>
  <c r="A1322" i="3"/>
  <c r="A1325" i="3"/>
  <c r="A1320" i="3"/>
  <c r="A1335" i="3"/>
  <c r="A1355" i="3"/>
  <c r="A1358" i="3"/>
  <c r="A2291" i="3"/>
  <c r="A2123" i="3"/>
  <c r="A1898" i="3"/>
  <c r="A2125" i="3"/>
  <c r="A2084" i="3"/>
  <c r="A1998" i="3"/>
  <c r="A1995" i="3"/>
  <c r="A1947" i="3"/>
  <c r="A1949" i="3"/>
  <c r="A2040" i="3"/>
  <c r="A237" i="6"/>
  <c r="B238" i="6" s="1"/>
  <c r="A853" i="3"/>
  <c r="A325" i="5"/>
  <c r="A326" i="5"/>
  <c r="A347" i="5"/>
  <c r="A121" i="5"/>
  <c r="A109" i="5"/>
  <c r="A106" i="5"/>
  <c r="A103" i="5"/>
  <c r="A102" i="5"/>
  <c r="A97" i="5"/>
  <c r="A104" i="5"/>
  <c r="A99" i="5"/>
  <c r="A105" i="5"/>
  <c r="A98" i="5"/>
  <c r="A974" i="3"/>
  <c r="A1091" i="3"/>
  <c r="A1039" i="3"/>
  <c r="A987" i="3"/>
  <c r="A950" i="3"/>
  <c r="A953" i="3"/>
  <c r="A902" i="3"/>
  <c r="A904" i="3"/>
  <c r="B218" i="2"/>
  <c r="A227" i="2"/>
  <c r="A261" i="3"/>
  <c r="A238" i="3"/>
  <c r="A258" i="3"/>
  <c r="A248" i="3"/>
  <c r="A240" i="3"/>
  <c r="A231" i="3"/>
  <c r="A228" i="3"/>
  <c r="A225" i="3"/>
  <c r="A223" i="3"/>
  <c r="A262" i="3"/>
  <c r="A201" i="3"/>
  <c r="A86" i="2"/>
  <c r="B852" i="3" a="1"/>
  <c r="B1298" i="3"/>
  <c r="B102" i="5" a="1"/>
  <c r="B223" i="3"/>
  <c r="B522" i="5" a="1"/>
  <c r="B514" i="5" a="1"/>
  <c r="B248" i="3" a="1"/>
  <c r="B976" i="3"/>
  <c r="B240" i="3"/>
  <c r="B501" i="5" a="1"/>
  <c r="B512" i="5"/>
  <c r="B391" i="5"/>
  <c r="B987" i="3" a="1"/>
  <c r="B325" i="5" a="1"/>
  <c r="B684" i="5" a="1"/>
  <c r="B728" i="5" a="1"/>
  <c r="B368" i="5"/>
  <c r="B231" i="3"/>
  <c r="B502" i="5"/>
  <c r="B1995" i="3" a="1"/>
  <c r="B507" i="5"/>
  <c r="B99" i="5"/>
  <c r="B103" i="5"/>
  <c r="B201" i="3"/>
  <c r="B109" i="5"/>
  <c r="B2084" i="3" a="1"/>
  <c r="B797" i="3" a="1"/>
  <c r="B225" i="3"/>
  <c r="B901" i="3" a="1"/>
  <c r="B258" i="3" a="1"/>
  <c r="B519" i="5"/>
  <c r="B950" i="3" a="1"/>
  <c r="B1320" i="3"/>
  <c r="B521" i="5" a="1"/>
  <c r="B1337" i="3"/>
  <c r="B228" i="3" a="1"/>
  <c r="B513" i="5"/>
  <c r="B1335" i="3" a="1"/>
  <c r="B751" i="5" a="1"/>
  <c r="B518" i="5" a="1"/>
  <c r="B730" i="5" a="1"/>
  <c r="B508" i="5" a="1"/>
  <c r="B1946" i="3" a="1"/>
  <c r="B98" i="5" a="1"/>
  <c r="B97" i="5"/>
  <c r="B1897" i="3" a="1"/>
  <c r="B506" i="5"/>
  <c r="B1322" i="3"/>
  <c r="B104" i="5"/>
  <c r="B105" i="5" a="1"/>
  <c r="B1328" i="3"/>
  <c r="B505" i="5" a="1"/>
  <c r="B1345" i="3" a="1"/>
  <c r="B2125" i="3"/>
  <c r="B1325" i="3" a="1"/>
  <c r="B238" i="3" a="1"/>
  <c r="B500" i="5"/>
  <c r="B509" i="5" a="1"/>
  <c r="B106" i="5" a="1"/>
  <c r="B347" i="5" a="1"/>
  <c r="B515" i="5"/>
  <c r="B326" i="5" a="1"/>
  <c r="B1355" i="3" a="1"/>
  <c r="B520" i="5"/>
  <c r="B499" i="5"/>
  <c r="B2040" i="3" a="1"/>
  <c r="B950" i="3" l="1"/>
  <c r="B987" i="3"/>
  <c r="B852" i="3"/>
  <c r="B2040" i="3"/>
  <c r="B901" i="3"/>
  <c r="B1946" i="3"/>
  <c r="B797" i="3"/>
  <c r="B2084" i="3"/>
  <c r="B1897" i="3"/>
  <c r="B1995" i="3"/>
  <c r="B1010" i="3"/>
  <c r="B1009" i="3"/>
  <c r="B1018" i="3"/>
  <c r="B1013" i="3"/>
  <c r="B1011" i="3"/>
  <c r="B1020" i="3"/>
  <c r="B988" i="3"/>
  <c r="B1025" i="3"/>
  <c r="B977" i="3"/>
  <c r="B1023" i="3"/>
  <c r="B975" i="3"/>
  <c r="B1021" i="3"/>
  <c r="B974" i="3"/>
  <c r="B1016" i="3"/>
  <c r="B1015" i="3"/>
  <c r="B2159" i="3"/>
  <c r="B2162" i="3"/>
  <c r="B2158" i="3"/>
  <c r="B2137" i="3"/>
  <c r="B2167" i="3"/>
  <c r="B2174" i="3"/>
  <c r="B2126" i="3"/>
  <c r="B2172" i="3"/>
  <c r="B2124" i="3"/>
  <c r="B2170" i="3"/>
  <c r="B2123" i="3"/>
  <c r="B2169" i="3"/>
  <c r="B2160" i="3"/>
  <c r="B2165" i="3"/>
  <c r="B2164" i="3"/>
  <c r="A801" i="3"/>
  <c r="B516" i="5"/>
  <c r="B511" i="5"/>
  <c r="A524" i="5"/>
  <c r="B1335" i="3"/>
  <c r="B1325" i="3"/>
  <c r="B1345" i="3"/>
  <c r="B1355" i="3"/>
  <c r="B1370" i="3"/>
  <c r="B1359" i="3"/>
  <c r="B1358" i="3"/>
  <c r="B1397" i="3"/>
  <c r="B901" i="5"/>
  <c r="A903" i="5"/>
  <c r="B900" i="5"/>
  <c r="B238" i="3"/>
  <c r="B228" i="3"/>
  <c r="B248" i="3"/>
  <c r="B258" i="3"/>
  <c r="B261" i="3"/>
  <c r="B300" i="3"/>
  <c r="B273" i="3"/>
  <c r="B262" i="3"/>
  <c r="A795" i="5"/>
  <c r="A796" i="5" s="1"/>
  <c r="A798" i="5" s="1"/>
  <c r="A817" i="5"/>
  <c r="B751" i="5"/>
  <c r="A753" i="5"/>
  <c r="A773" i="5"/>
  <c r="B728" i="5"/>
  <c r="B730" i="5"/>
  <c r="B684" i="5"/>
  <c r="A369" i="5"/>
  <c r="A370" i="5" s="1"/>
  <c r="B514" i="5"/>
  <c r="B522" i="5"/>
  <c r="B518" i="5"/>
  <c r="B521" i="5"/>
  <c r="A535" i="5"/>
  <c r="A526" i="5"/>
  <c r="A538" i="5"/>
  <c r="A551" i="5" s="1"/>
  <c r="A531" i="5"/>
  <c r="A527" i="5"/>
  <c r="A533" i="5"/>
  <c r="A528" i="5"/>
  <c r="A534" i="5"/>
  <c r="A532" i="5"/>
  <c r="B505" i="5"/>
  <c r="B508" i="5"/>
  <c r="B501" i="5"/>
  <c r="B509" i="5"/>
  <c r="B326" i="5"/>
  <c r="B347" i="5"/>
  <c r="B325" i="5"/>
  <c r="B407" i="5"/>
  <c r="B405" i="5"/>
  <c r="B403" i="5"/>
  <c r="B398" i="5"/>
  <c r="B397" i="5"/>
  <c r="B408" i="5"/>
  <c r="B402" i="5"/>
  <c r="B400" i="5"/>
  <c r="B390" i="5"/>
  <c r="B410" i="5"/>
  <c r="B433" i="5"/>
  <c r="B431" i="5"/>
  <c r="B430" i="5"/>
  <c r="B426" i="5"/>
  <c r="B428" i="5"/>
  <c r="B425" i="5"/>
  <c r="B423" i="5"/>
  <c r="B421" i="5"/>
  <c r="B420" i="5"/>
  <c r="B413" i="5"/>
  <c r="B98" i="5"/>
  <c r="B105" i="5"/>
  <c r="B102" i="5"/>
  <c r="B106" i="5"/>
  <c r="B126" i="5"/>
  <c r="B121" i="5"/>
  <c r="A2294" i="3"/>
  <c r="B2292" i="3"/>
  <c r="B2291" i="3"/>
  <c r="B67" i="6"/>
  <c r="A76" i="6"/>
  <c r="B2378" i="3"/>
  <c r="B2377" i="3"/>
  <c r="A2380" i="3"/>
  <c r="A1339" i="3"/>
  <c r="A1399" i="3"/>
  <c r="A1400" i="3"/>
  <c r="A1363" i="3"/>
  <c r="A1376" i="3"/>
  <c r="A1378" i="3"/>
  <c r="A1361" i="3"/>
  <c r="A1396" i="3"/>
  <c r="A1369" i="3"/>
  <c r="A1366" i="3"/>
  <c r="A1386" i="3"/>
  <c r="A2001" i="3"/>
  <c r="A1999" i="3"/>
  <c r="A2177" i="3"/>
  <c r="A2188" i="3" s="1"/>
  <c r="A2136" i="3"/>
  <c r="A1950" i="3"/>
  <c r="A2175" i="3"/>
  <c r="A2047" i="3"/>
  <c r="A2050" i="3"/>
  <c r="A2092" i="3"/>
  <c r="A392" i="5"/>
  <c r="A414" i="5"/>
  <c r="A349" i="5"/>
  <c r="A348" i="5"/>
  <c r="A327" i="5"/>
  <c r="A134" i="5"/>
  <c r="A115" i="5"/>
  <c r="A111" i="5"/>
  <c r="A122" i="5"/>
  <c r="A116" i="5"/>
  <c r="A118" i="5"/>
  <c r="A117" i="5"/>
  <c r="A110" i="5"/>
  <c r="A119" i="5"/>
  <c r="A112" i="5"/>
  <c r="A1026" i="3"/>
  <c r="A1099" i="3"/>
  <c r="A1047" i="3"/>
  <c r="A995" i="3"/>
  <c r="A954" i="3"/>
  <c r="A956" i="3"/>
  <c r="A905" i="3"/>
  <c r="B228" i="2"/>
  <c r="A237" i="2"/>
  <c r="B238" i="2" s="1"/>
  <c r="A299" i="3"/>
  <c r="A303" i="3"/>
  <c r="A269" i="3"/>
  <c r="A266" i="3"/>
  <c r="A289" i="3"/>
  <c r="A281" i="3"/>
  <c r="A272" i="3"/>
  <c r="A279" i="3"/>
  <c r="A264" i="3"/>
  <c r="A302" i="3"/>
  <c r="A242" i="3"/>
  <c r="A96" i="2"/>
  <c r="A106" i="2" s="1"/>
  <c r="B800" i="3" a="1"/>
  <c r="B122" i="5"/>
  <c r="B117" i="5"/>
  <c r="B414" i="5"/>
  <c r="B111" i="5" a="1"/>
  <c r="B370" i="5" a="1"/>
  <c r="B272" i="3"/>
  <c r="B772" i="5" a="1"/>
  <c r="B242" i="3"/>
  <c r="B119" i="5" a="1"/>
  <c r="B1363" i="3"/>
  <c r="B953" i="3" a="1"/>
  <c r="B798" i="5" a="1"/>
  <c r="B1366" i="3" a="1"/>
  <c r="B533" i="5"/>
  <c r="B348" i="5" a="1"/>
  <c r="B2047" i="3" a="1"/>
  <c r="B1361" i="3"/>
  <c r="B525" i="5"/>
  <c r="B531" i="5" a="1"/>
  <c r="B904" i="3" a="1"/>
  <c r="B369" i="5" a="1"/>
  <c r="B327" i="5" a="1"/>
  <c r="B264" i="3"/>
  <c r="B1376" i="3" a="1"/>
  <c r="B118" i="5" a="1"/>
  <c r="B392" i="5" a="1"/>
  <c r="B269" i="3" a="1"/>
  <c r="B266" i="3"/>
  <c r="B110" i="5"/>
  <c r="B794" i="5"/>
  <c r="B532" i="5"/>
  <c r="B753" i="5" a="1"/>
  <c r="B1998" i="3" a="1"/>
  <c r="B1386" i="3" a="1"/>
  <c r="B1949" i="3" a="1"/>
  <c r="B115" i="5" a="1"/>
  <c r="B116" i="5"/>
  <c r="B2177" i="3"/>
  <c r="B534" i="5" a="1"/>
  <c r="B349" i="5" a="1"/>
  <c r="B281" i="3"/>
  <c r="B527" i="5" a="1"/>
  <c r="B528" i="5"/>
  <c r="B526" i="5"/>
  <c r="B299" i="3" a="1"/>
  <c r="B1378" i="3"/>
  <c r="B289" i="3" a="1"/>
  <c r="B2188" i="3" a="1"/>
  <c r="B1396" i="3" a="1"/>
  <c r="B796" i="5" a="1"/>
  <c r="B1039" i="3" a="1"/>
  <c r="B279" i="3" a="1"/>
  <c r="B2092" i="3" a="1"/>
  <c r="B1028" i="3"/>
  <c r="B1339" i="3"/>
  <c r="B1047" i="3" a="1"/>
  <c r="B2136" i="3" a="1"/>
  <c r="B535" i="5" a="1"/>
  <c r="B795" i="5" a="1"/>
  <c r="B1369" i="3"/>
  <c r="B995" i="3" a="1"/>
  <c r="B112" i="5"/>
  <c r="B904" i="3" l="1"/>
  <c r="B2047" i="3"/>
  <c r="B953" i="3"/>
  <c r="B800" i="3"/>
  <c r="B995" i="3"/>
  <c r="B1047" i="3"/>
  <c r="B1039" i="3"/>
  <c r="B2136" i="3"/>
  <c r="B2092" i="3"/>
  <c r="B2188" i="3"/>
  <c r="B1949" i="3"/>
  <c r="B1998" i="3"/>
  <c r="B1077" i="3"/>
  <c r="B1029" i="3"/>
  <c r="B1067" i="3"/>
  <c r="B1061" i="3"/>
  <c r="B1075" i="3"/>
  <c r="B1027" i="3"/>
  <c r="B1040" i="3"/>
  <c r="B1073" i="3"/>
  <c r="B1026" i="3"/>
  <c r="B1072" i="3"/>
  <c r="B1070" i="3"/>
  <c r="B1068" i="3"/>
  <c r="B1065" i="3"/>
  <c r="B1063" i="3"/>
  <c r="B1062" i="3"/>
  <c r="B2226" i="3"/>
  <c r="B2178" i="3"/>
  <c r="B2189" i="3"/>
  <c r="B2224" i="3"/>
  <c r="B2176" i="3"/>
  <c r="B2222" i="3"/>
  <c r="B2175" i="3"/>
  <c r="B2221" i="3"/>
  <c r="B2219" i="3"/>
  <c r="B2217" i="3"/>
  <c r="B2216" i="3"/>
  <c r="B2214" i="3"/>
  <c r="B2212" i="3"/>
  <c r="B2211" i="3"/>
  <c r="B2210" i="3"/>
  <c r="B529" i="5"/>
  <c r="B524" i="5"/>
  <c r="A537" i="5"/>
  <c r="B1366" i="3"/>
  <c r="B1386" i="3"/>
  <c r="B1396" i="3"/>
  <c r="B1376" i="3"/>
  <c r="B1411" i="3"/>
  <c r="B1400" i="3"/>
  <c r="B1438" i="3"/>
  <c r="B1399" i="3"/>
  <c r="B904" i="5"/>
  <c r="B903" i="5"/>
  <c r="B279" i="3"/>
  <c r="B289" i="3"/>
  <c r="B269" i="3"/>
  <c r="B299" i="3"/>
  <c r="B341" i="3"/>
  <c r="B314" i="3"/>
  <c r="B303" i="3"/>
  <c r="B302" i="3"/>
  <c r="A797" i="5"/>
  <c r="A799" i="5" s="1"/>
  <c r="A818" i="5"/>
  <c r="B753" i="5"/>
  <c r="B795" i="5"/>
  <c r="B796" i="5"/>
  <c r="B798" i="5"/>
  <c r="B772" i="5"/>
  <c r="A774" i="5"/>
  <c r="A775" i="5"/>
  <c r="B369" i="5"/>
  <c r="A552" i="5"/>
  <c r="A564" i="5"/>
  <c r="A558" i="5"/>
  <c r="A557" i="5"/>
  <c r="A561" i="5"/>
  <c r="A560" i="5"/>
  <c r="A554" i="5"/>
  <c r="A553" i="5"/>
  <c r="A559" i="5"/>
  <c r="B531" i="5"/>
  <c r="B534" i="5"/>
  <c r="B527" i="5"/>
  <c r="B535" i="5"/>
  <c r="A544" i="5"/>
  <c r="A539" i="5"/>
  <c r="A545" i="5"/>
  <c r="A548" i="5"/>
  <c r="A541" i="5"/>
  <c r="A546" i="5"/>
  <c r="A547" i="5"/>
  <c r="A540" i="5"/>
  <c r="B327" i="5"/>
  <c r="B348" i="5"/>
  <c r="B349" i="5"/>
  <c r="B392" i="5"/>
  <c r="B370" i="5"/>
  <c r="B118" i="5"/>
  <c r="B111" i="5"/>
  <c r="B115" i="5"/>
  <c r="B119" i="5"/>
  <c r="B139" i="5"/>
  <c r="B134" i="5"/>
  <c r="B2295" i="3"/>
  <c r="B2294" i="3"/>
  <c r="B77" i="6"/>
  <c r="A86" i="6"/>
  <c r="B2381" i="3"/>
  <c r="B2380" i="3"/>
  <c r="A1380" i="3"/>
  <c r="A1440" i="3"/>
  <c r="A1417" i="3"/>
  <c r="A1427" i="3"/>
  <c r="A1437" i="3"/>
  <c r="A1410" i="3"/>
  <c r="A1407" i="3"/>
  <c r="A1441" i="3"/>
  <c r="A1404" i="3"/>
  <c r="A1419" i="3"/>
  <c r="A1402" i="3"/>
  <c r="A2144" i="3"/>
  <c r="A2002" i="3"/>
  <c r="A2196" i="3"/>
  <c r="A2102" i="3"/>
  <c r="A2099" i="3"/>
  <c r="A2051" i="3"/>
  <c r="A2053" i="3"/>
  <c r="A350" i="5"/>
  <c r="A393" i="5"/>
  <c r="A415" i="5"/>
  <c r="A372" i="5"/>
  <c r="A371" i="5"/>
  <c r="A147" i="5"/>
  <c r="A128" i="5"/>
  <c r="A135" i="5"/>
  <c r="A125" i="5"/>
  <c r="A131" i="5"/>
  <c r="A123" i="5"/>
  <c r="A132" i="5"/>
  <c r="A130" i="5"/>
  <c r="A124" i="5"/>
  <c r="A129" i="5"/>
  <c r="A1078" i="3"/>
  <c r="A1106" i="3"/>
  <c r="A1109" i="3"/>
  <c r="A1054" i="3"/>
  <c r="A1057" i="3"/>
  <c r="A1005" i="3"/>
  <c r="A1002" i="3"/>
  <c r="A957" i="3"/>
  <c r="A320" i="3"/>
  <c r="A340" i="3"/>
  <c r="A330" i="3"/>
  <c r="A322" i="3"/>
  <c r="A313" i="3"/>
  <c r="A310" i="3"/>
  <c r="A307" i="3"/>
  <c r="A305" i="3"/>
  <c r="A344" i="3"/>
  <c r="A343" i="3"/>
  <c r="A283" i="3"/>
  <c r="A116" i="2"/>
  <c r="A126" i="2" s="1"/>
  <c r="B1002" i="3" a="1"/>
  <c r="B1417" i="3" a="1"/>
  <c r="B305" i="3"/>
  <c r="B307" i="3"/>
  <c r="B541" i="5"/>
  <c r="B393" i="5" a="1"/>
  <c r="B372" i="5" a="1"/>
  <c r="B371" i="5" a="1"/>
  <c r="B132" i="5" a="1"/>
  <c r="B773" i="5" a="1"/>
  <c r="B130" i="5"/>
  <c r="B540" i="5" a="1"/>
  <c r="B310" i="3" a="1"/>
  <c r="B956" i="3" a="1"/>
  <c r="B1404" i="3"/>
  <c r="B548" i="5" a="1"/>
  <c r="B1419" i="3"/>
  <c r="B546" i="5"/>
  <c r="B2144" i="3" a="1"/>
  <c r="B322" i="3"/>
  <c r="B539" i="5"/>
  <c r="B547" i="5" a="1"/>
  <c r="B1402" i="3"/>
  <c r="B2001" i="3" a="1"/>
  <c r="B1054" i="3" a="1"/>
  <c r="B2050" i="3" a="1"/>
  <c r="B128" i="5" a="1"/>
  <c r="B544" i="5" a="1"/>
  <c r="B799" i="5" a="1"/>
  <c r="B1427" i="3" a="1"/>
  <c r="B320" i="3" a="1"/>
  <c r="B124" i="5" a="1"/>
  <c r="B1080" i="3"/>
  <c r="B538" i="5"/>
  <c r="B817" i="5"/>
  <c r="B330" i="3" a="1"/>
  <c r="B123" i="5"/>
  <c r="B2196" i="3" a="1"/>
  <c r="B2099" i="3" a="1"/>
  <c r="B1380" i="3"/>
  <c r="B340" i="3" a="1"/>
  <c r="B1437" i="3" a="1"/>
  <c r="B350" i="5" a="1"/>
  <c r="B1091" i="3" a="1"/>
  <c r="B797" i="5" a="1"/>
  <c r="B415" i="5" a="1"/>
  <c r="B283" i="3"/>
  <c r="B135" i="5"/>
  <c r="B1099" i="3" a="1"/>
  <c r="B125" i="5"/>
  <c r="B129" i="5"/>
  <c r="B775" i="5" a="1"/>
  <c r="B1407" i="3" a="1"/>
  <c r="B545" i="5"/>
  <c r="B1106" i="3" a="1"/>
  <c r="B131" i="5" a="1"/>
  <c r="B1410" i="3"/>
  <c r="B313" i="3"/>
  <c r="B1106" i="3" l="1"/>
  <c r="B1099" i="3"/>
  <c r="B1091" i="3"/>
  <c r="B2144" i="3"/>
  <c r="B2050" i="3"/>
  <c r="B956" i="3"/>
  <c r="B1002" i="3"/>
  <c r="B2099" i="3"/>
  <c r="B2196" i="3"/>
  <c r="B1054" i="3"/>
  <c r="B2001" i="3"/>
  <c r="B1124" i="3"/>
  <c r="B1078" i="3"/>
  <c r="B1122" i="3"/>
  <c r="B1127" i="3"/>
  <c r="B1120" i="3"/>
  <c r="B1113" i="3"/>
  <c r="B1119" i="3"/>
  <c r="B1117" i="3"/>
  <c r="B1115" i="3"/>
  <c r="B1114" i="3"/>
  <c r="B1092" i="3"/>
  <c r="B1129" i="3"/>
  <c r="B1081" i="3"/>
  <c r="B1079" i="3"/>
  <c r="B1125" i="3"/>
  <c r="A550" i="5"/>
  <c r="B542" i="5"/>
  <c r="B537" i="5"/>
  <c r="B1407" i="3"/>
  <c r="B1437" i="3"/>
  <c r="B1427" i="3"/>
  <c r="B1417" i="3"/>
  <c r="B1452" i="3"/>
  <c r="B1441" i="3"/>
  <c r="B1440" i="3"/>
  <c r="B1479" i="3"/>
  <c r="B330" i="3"/>
  <c r="B310" i="3"/>
  <c r="B340" i="3"/>
  <c r="B320" i="3"/>
  <c r="B382" i="3"/>
  <c r="B355" i="3"/>
  <c r="B344" i="3"/>
  <c r="B343" i="3"/>
  <c r="A819" i="5"/>
  <c r="B773" i="5"/>
  <c r="B775" i="5"/>
  <c r="B797" i="5"/>
  <c r="B799" i="5"/>
  <c r="A776" i="5"/>
  <c r="A570" i="5"/>
  <c r="A577" i="5"/>
  <c r="A571" i="5"/>
  <c r="A574" i="5"/>
  <c r="A567" i="5"/>
  <c r="A573" i="5"/>
  <c r="A566" i="5"/>
  <c r="A572" i="5"/>
  <c r="A565" i="5"/>
  <c r="B544" i="5"/>
  <c r="B540" i="5"/>
  <c r="B547" i="5"/>
  <c r="B548" i="5"/>
  <c r="B371" i="5"/>
  <c r="B372" i="5"/>
  <c r="B415" i="5"/>
  <c r="B393" i="5"/>
  <c r="B350" i="5"/>
  <c r="B124" i="5"/>
  <c r="B132" i="5"/>
  <c r="B131" i="5"/>
  <c r="B128" i="5"/>
  <c r="B152" i="5"/>
  <c r="B147" i="5"/>
  <c r="B87" i="6"/>
  <c r="A96" i="6"/>
  <c r="A1421" i="3"/>
  <c r="A1481" i="3"/>
  <c r="A1451" i="3"/>
  <c r="A1482" i="3"/>
  <c r="A1445" i="3"/>
  <c r="A1460" i="3"/>
  <c r="A1468" i="3"/>
  <c r="A1448" i="3"/>
  <c r="A1458" i="3"/>
  <c r="A1443" i="3"/>
  <c r="A1478" i="3"/>
  <c r="A2054" i="3"/>
  <c r="A2151" i="3"/>
  <c r="A2154" i="3"/>
  <c r="A2103" i="3"/>
  <c r="A2206" i="3"/>
  <c r="A2203" i="3"/>
  <c r="A2105" i="3"/>
  <c r="A394" i="5"/>
  <c r="A395" i="5"/>
  <c r="A373" i="5"/>
  <c r="A416" i="5"/>
  <c r="A160" i="5"/>
  <c r="A141" i="5"/>
  <c r="A136" i="5"/>
  <c r="A142" i="5"/>
  <c r="A148" i="5"/>
  <c r="A143" i="5"/>
  <c r="A144" i="5"/>
  <c r="A138" i="5"/>
  <c r="A137" i="5"/>
  <c r="A145" i="5"/>
  <c r="A1110" i="3"/>
  <c r="A1112" i="3"/>
  <c r="A1058" i="3"/>
  <c r="A1060" i="3"/>
  <c r="A1006" i="3"/>
  <c r="A1008" i="3"/>
  <c r="A324" i="3"/>
  <c r="A384" i="3"/>
  <c r="A381" i="3"/>
  <c r="A385" i="3"/>
  <c r="A371" i="3"/>
  <c r="A361" i="3"/>
  <c r="A346" i="3"/>
  <c r="A354" i="3"/>
  <c r="A363" i="3"/>
  <c r="A348" i="3"/>
  <c r="A351" i="3"/>
  <c r="B127" i="2"/>
  <c r="A136" i="2"/>
  <c r="A146" i="2" s="1"/>
  <c r="B2053" i="3" a="1"/>
  <c r="B148" i="5"/>
  <c r="B361" i="3" a="1"/>
  <c r="B141" i="5" a="1"/>
  <c r="B1458" i="3" a="1"/>
  <c r="B552" i="5"/>
  <c r="B560" i="5" a="1"/>
  <c r="B776" i="5" a="1"/>
  <c r="B2203" i="3" a="1"/>
  <c r="B142" i="5"/>
  <c r="B371" i="3" a="1"/>
  <c r="B1460" i="3"/>
  <c r="B324" i="3"/>
  <c r="B395" i="5" a="1"/>
  <c r="B1005" i="3" a="1"/>
  <c r="B394" i="5" a="1"/>
  <c r="B558" i="5"/>
  <c r="B559" i="5"/>
  <c r="B144" i="5" a="1"/>
  <c r="B551" i="5"/>
  <c r="B1468" i="3" a="1"/>
  <c r="B1421" i="3"/>
  <c r="B2151" i="3" a="1"/>
  <c r="B818" i="5" a="1"/>
  <c r="B348" i="3"/>
  <c r="B136" i="5"/>
  <c r="B1448" i="3" a="1"/>
  <c r="B1451" i="3"/>
  <c r="B416" i="5" a="1"/>
  <c r="B553" i="5" a="1"/>
  <c r="B381" i="3" a="1"/>
  <c r="B1443" i="3"/>
  <c r="B774" i="5" a="1"/>
  <c r="B561" i="5" a="1"/>
  <c r="B557" i="5" a="1"/>
  <c r="B1445" i="3"/>
  <c r="B351" i="3" a="1"/>
  <c r="B373" i="5" a="1"/>
  <c r="B138" i="5"/>
  <c r="B145" i="5" a="1"/>
  <c r="B554" i="5"/>
  <c r="B137" i="5" a="1"/>
  <c r="B1109" i="3" a="1"/>
  <c r="B1057" i="3" a="1"/>
  <c r="B354" i="3"/>
  <c r="B2102" i="3" a="1"/>
  <c r="B363" i="3"/>
  <c r="B143" i="5"/>
  <c r="B346" i="3"/>
  <c r="B1478" i="3" a="1"/>
  <c r="B2203" i="3" l="1"/>
  <c r="B2053" i="3"/>
  <c r="B1005" i="3"/>
  <c r="B2151" i="3"/>
  <c r="B1057" i="3"/>
  <c r="B1109" i="3"/>
  <c r="B2102" i="3"/>
  <c r="B553" i="5"/>
  <c r="B557" i="5"/>
  <c r="B560" i="5"/>
  <c r="B561" i="5"/>
  <c r="B555" i="5"/>
  <c r="A563" i="5"/>
  <c r="B550" i="5"/>
  <c r="B1468" i="3"/>
  <c r="B1478" i="3"/>
  <c r="B1458" i="3"/>
  <c r="B1448" i="3"/>
  <c r="B1482" i="3"/>
  <c r="B1520" i="3"/>
  <c r="B1493" i="3"/>
  <c r="B1481" i="3"/>
  <c r="B361" i="3"/>
  <c r="B371" i="3"/>
  <c r="B381" i="3"/>
  <c r="B351" i="3"/>
  <c r="B384" i="3"/>
  <c r="B423" i="3"/>
  <c r="B396" i="3"/>
  <c r="B385" i="3"/>
  <c r="B818" i="5"/>
  <c r="A821" i="5"/>
  <c r="A820" i="5"/>
  <c r="B774" i="5"/>
  <c r="B776" i="5"/>
  <c r="A583" i="5"/>
  <c r="A587" i="5"/>
  <c r="A580" i="5"/>
  <c r="A585" i="5"/>
  <c r="A586" i="5"/>
  <c r="A579" i="5"/>
  <c r="A578" i="5"/>
  <c r="A590" i="5"/>
  <c r="A584" i="5"/>
  <c r="B416" i="5"/>
  <c r="B373" i="5"/>
  <c r="B395" i="5"/>
  <c r="B394" i="5"/>
  <c r="B141" i="5"/>
  <c r="B145" i="5"/>
  <c r="B137" i="5"/>
  <c r="B144" i="5"/>
  <c r="B160" i="5"/>
  <c r="B165" i="5"/>
  <c r="B97" i="6"/>
  <c r="A106" i="6"/>
  <c r="A1462" i="3"/>
  <c r="A1522" i="3"/>
  <c r="A1523" i="3"/>
  <c r="A1486" i="3"/>
  <c r="A1499" i="3"/>
  <c r="A1509" i="3"/>
  <c r="A1501" i="3"/>
  <c r="A1484" i="3"/>
  <c r="A1519" i="3"/>
  <c r="A1492" i="3"/>
  <c r="A1489" i="3"/>
  <c r="A2106" i="3"/>
  <c r="A2207" i="3"/>
  <c r="A2155" i="3"/>
  <c r="A2157" i="3"/>
  <c r="A2209" i="3"/>
  <c r="A418" i="5"/>
  <c r="A417" i="5"/>
  <c r="A396" i="5"/>
  <c r="A173" i="5"/>
  <c r="A161" i="5"/>
  <c r="A151" i="5"/>
  <c r="A155" i="5"/>
  <c r="A156" i="5"/>
  <c r="A150" i="5"/>
  <c r="A154" i="5"/>
  <c r="A158" i="5"/>
  <c r="A157" i="5"/>
  <c r="A149" i="5"/>
  <c r="A1113" i="3"/>
  <c r="A1061" i="3"/>
  <c r="A1009" i="3"/>
  <c r="A365" i="3"/>
  <c r="A402" i="3"/>
  <c r="A412" i="3"/>
  <c r="A404" i="3"/>
  <c r="A395" i="3"/>
  <c r="A392" i="3"/>
  <c r="A389" i="3"/>
  <c r="A387" i="3"/>
  <c r="A426" i="3"/>
  <c r="A422" i="3"/>
  <c r="A425" i="3"/>
  <c r="B147" i="2"/>
  <c r="A156" i="2"/>
  <c r="B1462" i="3"/>
  <c r="B819" i="5" a="1"/>
  <c r="B573" i="5" a="1"/>
  <c r="B418" i="5" a="1"/>
  <c r="B149" i="5"/>
  <c r="B161" i="5"/>
  <c r="B156" i="5"/>
  <c r="B157" i="5" a="1"/>
  <c r="B571" i="5"/>
  <c r="B1060" i="3" a="1"/>
  <c r="B387" i="3"/>
  <c r="B2154" i="3" a="1"/>
  <c r="B396" i="5" a="1"/>
  <c r="B155" i="5"/>
  <c r="B1501" i="3"/>
  <c r="B158" i="5" a="1"/>
  <c r="B1492" i="3"/>
  <c r="B150" i="5" a="1"/>
  <c r="B395" i="3"/>
  <c r="B412" i="3" a="1"/>
  <c r="B1509" i="3" a="1"/>
  <c r="B572" i="5"/>
  <c r="B422" i="3" a="1"/>
  <c r="B1486" i="3"/>
  <c r="B1489" i="3" a="1"/>
  <c r="B365" i="3"/>
  <c r="B154" i="5" a="1"/>
  <c r="B402" i="3" a="1"/>
  <c r="B389" i="3"/>
  <c r="B1484" i="3"/>
  <c r="B404" i="3"/>
  <c r="B417" i="5" a="1"/>
  <c r="B1112" i="3" a="1"/>
  <c r="B1499" i="3" a="1"/>
  <c r="B567" i="5"/>
  <c r="B2105" i="3" a="1"/>
  <c r="B392" i="3" a="1"/>
  <c r="B574" i="5" a="1"/>
  <c r="B151" i="5"/>
  <c r="B1008" i="3" a="1"/>
  <c r="B564" i="5"/>
  <c r="B821" i="5" a="1"/>
  <c r="B570" i="5" a="1"/>
  <c r="B565" i="5"/>
  <c r="B2206" i="3" a="1"/>
  <c r="B566" i="5" a="1"/>
  <c r="B1519" i="3" a="1"/>
  <c r="B2154" i="3" l="1"/>
  <c r="B2206" i="3"/>
  <c r="B2105" i="3"/>
  <c r="B1008" i="3"/>
  <c r="B1060" i="3"/>
  <c r="B1112" i="3"/>
  <c r="B566" i="5"/>
  <c r="B574" i="5"/>
  <c r="B573" i="5"/>
  <c r="B570" i="5"/>
  <c r="B568" i="5"/>
  <c r="A576" i="5"/>
  <c r="B563" i="5"/>
  <c r="B1509" i="3"/>
  <c r="B1499" i="3"/>
  <c r="B1489" i="3"/>
  <c r="B1519" i="3"/>
  <c r="B1561" i="3"/>
  <c r="B1534" i="3"/>
  <c r="B1523" i="3"/>
  <c r="B1522" i="3"/>
  <c r="B392" i="3"/>
  <c r="B412" i="3"/>
  <c r="B402" i="3"/>
  <c r="B422" i="3"/>
  <c r="B464" i="3"/>
  <c r="B437" i="3"/>
  <c r="B426" i="3"/>
  <c r="B425" i="3"/>
  <c r="B819" i="5"/>
  <c r="B821" i="5"/>
  <c r="A822" i="5"/>
  <c r="A600" i="5"/>
  <c r="A596" i="5"/>
  <c r="A593" i="5"/>
  <c r="A599" i="5"/>
  <c r="A598" i="5"/>
  <c r="A592" i="5"/>
  <c r="A591" i="5"/>
  <c r="A603" i="5"/>
  <c r="A597" i="5"/>
  <c r="B417" i="5"/>
  <c r="B418" i="5"/>
  <c r="B396" i="5"/>
  <c r="B150" i="5"/>
  <c r="B157" i="5"/>
  <c r="B158" i="5"/>
  <c r="B154" i="5"/>
  <c r="B178" i="5"/>
  <c r="B173" i="5"/>
  <c r="A116" i="6"/>
  <c r="B107" i="6"/>
  <c r="A1503" i="3"/>
  <c r="A1540" i="3"/>
  <c r="A1542" i="3"/>
  <c r="A1560" i="3"/>
  <c r="A1533" i="3"/>
  <c r="A1550" i="3"/>
  <c r="A1530" i="3"/>
  <c r="A1564" i="3"/>
  <c r="A1527" i="3"/>
  <c r="A1525" i="3"/>
  <c r="A1563" i="3"/>
  <c r="A2158" i="3"/>
  <c r="A2210" i="3"/>
  <c r="A419" i="5"/>
  <c r="A186" i="5"/>
  <c r="A167" i="5"/>
  <c r="A163" i="5"/>
  <c r="A174" i="5"/>
  <c r="A168" i="5"/>
  <c r="A164" i="5"/>
  <c r="A171" i="5"/>
  <c r="A162" i="5"/>
  <c r="A169" i="5"/>
  <c r="A170" i="5"/>
  <c r="A443" i="3"/>
  <c r="A467" i="3"/>
  <c r="A463" i="3"/>
  <c r="A453" i="3"/>
  <c r="A445" i="3"/>
  <c r="A436" i="3"/>
  <c r="A433" i="3"/>
  <c r="A430" i="3"/>
  <c r="A428" i="3"/>
  <c r="A406" i="3"/>
  <c r="A466" i="3"/>
  <c r="B578" i="5"/>
  <c r="B586" i="5" a="1"/>
  <c r="B583" i="5" a="1"/>
  <c r="B169" i="5"/>
  <c r="B585" i="5"/>
  <c r="B436" i="3"/>
  <c r="B445" i="3"/>
  <c r="B2157" i="3" a="1"/>
  <c r="B1550" i="3" a="1"/>
  <c r="B2209" i="3" a="1"/>
  <c r="B1560" i="3" a="1"/>
  <c r="B453" i="3" a="1"/>
  <c r="B820" i="5" a="1"/>
  <c r="B580" i="5"/>
  <c r="B163" i="5" a="1"/>
  <c r="B1525" i="3"/>
  <c r="B406" i="3"/>
  <c r="B433" i="3" a="1"/>
  <c r="B428" i="3"/>
  <c r="B443" i="3" a="1"/>
  <c r="B587" i="5" a="1"/>
  <c r="B171" i="5" a="1"/>
  <c r="B174" i="5"/>
  <c r="B170" i="5" a="1"/>
  <c r="B1533" i="3"/>
  <c r="B1527" i="3"/>
  <c r="B164" i="5"/>
  <c r="B419" i="5" a="1"/>
  <c r="B430" i="3"/>
  <c r="B167" i="5" a="1"/>
  <c r="B162" i="5"/>
  <c r="B1530" i="3" a="1"/>
  <c r="B577" i="5"/>
  <c r="B1540" i="3" a="1"/>
  <c r="B822" i="5" a="1"/>
  <c r="B1542" i="3"/>
  <c r="B1503" i="3"/>
  <c r="B168" i="5"/>
  <c r="B579" i="5" a="1"/>
  <c r="B584" i="5"/>
  <c r="B463" i="3" a="1"/>
  <c r="B2209" i="3" l="1"/>
  <c r="B2157" i="3"/>
  <c r="B587" i="5"/>
  <c r="B583" i="5"/>
  <c r="B586" i="5"/>
  <c r="B579" i="5"/>
  <c r="B581" i="5"/>
  <c r="A589" i="5"/>
  <c r="B576" i="5"/>
  <c r="B1530" i="3"/>
  <c r="B1550" i="3"/>
  <c r="B1560" i="3"/>
  <c r="B1540" i="3"/>
  <c r="B1602" i="3"/>
  <c r="B1564" i="3"/>
  <c r="B1563" i="3"/>
  <c r="B1575" i="3"/>
  <c r="B433" i="3"/>
  <c r="B453" i="3"/>
  <c r="B463" i="3"/>
  <c r="B443" i="3"/>
  <c r="B505" i="3"/>
  <c r="B478" i="3"/>
  <c r="B467" i="3"/>
  <c r="B466" i="3"/>
  <c r="B822" i="5"/>
  <c r="B820" i="5"/>
  <c r="A609" i="5"/>
  <c r="A612" i="5"/>
  <c r="A605" i="5"/>
  <c r="A604" i="5"/>
  <c r="A616" i="5"/>
  <c r="A611" i="5"/>
  <c r="A610" i="5"/>
  <c r="A613" i="5"/>
  <c r="A606" i="5"/>
  <c r="B419" i="5"/>
  <c r="B167" i="5"/>
  <c r="B171" i="5"/>
  <c r="B170" i="5"/>
  <c r="B163" i="5"/>
  <c r="B191" i="5"/>
  <c r="B186" i="5"/>
  <c r="A126" i="6"/>
  <c r="B117" i="6"/>
  <c r="A1544" i="3"/>
  <c r="A1574" i="3"/>
  <c r="A1568" i="3"/>
  <c r="A1583" i="3"/>
  <c r="A1605" i="3"/>
  <c r="A1591" i="3"/>
  <c r="A1571" i="3"/>
  <c r="A1566" i="3"/>
  <c r="A1581" i="3"/>
  <c r="A1601" i="3"/>
  <c r="A1604" i="3"/>
  <c r="A199" i="5"/>
  <c r="A187" i="5"/>
  <c r="A184" i="5"/>
  <c r="A177" i="5"/>
  <c r="A181" i="5"/>
  <c r="A180" i="5"/>
  <c r="A183" i="5"/>
  <c r="A175" i="5"/>
  <c r="A176" i="5"/>
  <c r="A182" i="5"/>
  <c r="A484" i="3"/>
  <c r="A508" i="3"/>
  <c r="A504" i="3"/>
  <c r="A494" i="3"/>
  <c r="A486" i="3"/>
  <c r="A477" i="3"/>
  <c r="A474" i="3"/>
  <c r="A471" i="3"/>
  <c r="A469" i="3"/>
  <c r="A507" i="3"/>
  <c r="A447" i="3"/>
  <c r="B177" i="5"/>
  <c r="B598" i="5"/>
  <c r="B187" i="5"/>
  <c r="B592" i="5" a="1"/>
  <c r="B1581" i="3" a="1"/>
  <c r="B175" i="5"/>
  <c r="B180" i="5" a="1"/>
  <c r="B484" i="3" a="1"/>
  <c r="B469" i="3"/>
  <c r="B474" i="3" a="1"/>
  <c r="B182" i="5"/>
  <c r="B181" i="5"/>
  <c r="B597" i="5"/>
  <c r="B494" i="3" a="1"/>
  <c r="B590" i="5"/>
  <c r="B591" i="5"/>
  <c r="B176" i="5" a="1"/>
  <c r="B1568" i="3"/>
  <c r="B1566" i="3"/>
  <c r="B1571" i="3" a="1"/>
  <c r="B471" i="3"/>
  <c r="B600" i="5" a="1"/>
  <c r="B593" i="5"/>
  <c r="B184" i="5" a="1"/>
  <c r="B1544" i="3"/>
  <c r="B1591" i="3" a="1"/>
  <c r="B1583" i="3"/>
  <c r="B1574" i="3"/>
  <c r="B183" i="5" a="1"/>
  <c r="B599" i="5" a="1"/>
  <c r="B1601" i="3" a="1"/>
  <c r="B504" i="3" a="1"/>
  <c r="B486" i="3"/>
  <c r="B477" i="3"/>
  <c r="B596" i="5" a="1"/>
  <c r="B447" i="3"/>
  <c r="B596" i="5" l="1"/>
  <c r="B599" i="5"/>
  <c r="B600" i="5"/>
  <c r="B592" i="5"/>
  <c r="B594" i="5"/>
  <c r="B589" i="5"/>
  <c r="A602" i="5"/>
  <c r="B1601" i="3"/>
  <c r="B1581" i="3"/>
  <c r="B1571" i="3"/>
  <c r="B1591" i="3"/>
  <c r="B1643" i="3"/>
  <c r="B1616" i="3"/>
  <c r="B1605" i="3"/>
  <c r="B1604" i="3"/>
  <c r="B519" i="3"/>
  <c r="B546" i="3"/>
  <c r="B508" i="3"/>
  <c r="B507" i="3"/>
  <c r="B484" i="3"/>
  <c r="B494" i="3"/>
  <c r="B504" i="3"/>
  <c r="B474" i="3"/>
  <c r="A629" i="5"/>
  <c r="A622" i="5"/>
  <c r="A619" i="5"/>
  <c r="A626" i="5"/>
  <c r="A625" i="5"/>
  <c r="A618" i="5"/>
  <c r="A624" i="5"/>
  <c r="A623" i="5"/>
  <c r="A617" i="5"/>
  <c r="B183" i="5"/>
  <c r="B176" i="5"/>
  <c r="B180" i="5"/>
  <c r="B184" i="5"/>
  <c r="B204" i="5"/>
  <c r="B199" i="5"/>
  <c r="B127" i="6"/>
  <c r="A136" i="6"/>
  <c r="A1585" i="3"/>
  <c r="A1645" i="3"/>
  <c r="A1646" i="3"/>
  <c r="A1609" i="3"/>
  <c r="A1622" i="3"/>
  <c r="A1632" i="3"/>
  <c r="A1624" i="3"/>
  <c r="A1607" i="3"/>
  <c r="A1642" i="3"/>
  <c r="A1615" i="3"/>
  <c r="A1612" i="3"/>
  <c r="A212" i="5"/>
  <c r="A193" i="5"/>
  <c r="A200" i="5"/>
  <c r="A189" i="5"/>
  <c r="A190" i="5"/>
  <c r="A197" i="5"/>
  <c r="A194" i="5"/>
  <c r="A188" i="5"/>
  <c r="A195" i="5"/>
  <c r="A196" i="5"/>
  <c r="A525" i="3"/>
  <c r="A512" i="3"/>
  <c r="A510" i="3"/>
  <c r="A549" i="3"/>
  <c r="A535" i="3"/>
  <c r="A527" i="3"/>
  <c r="A515" i="3"/>
  <c r="A518" i="3"/>
  <c r="A545" i="3"/>
  <c r="A548" i="3"/>
  <c r="A488" i="3"/>
  <c r="B606" i="5"/>
  <c r="B1607" i="3"/>
  <c r="B604" i="5"/>
  <c r="B195" i="5"/>
  <c r="B611" i="5"/>
  <c r="B613" i="5" a="1"/>
  <c r="B488" i="3"/>
  <c r="B1624" i="3"/>
  <c r="B188" i="5"/>
  <c r="B527" i="3"/>
  <c r="B190" i="5"/>
  <c r="B518" i="3"/>
  <c r="B197" i="5" a="1"/>
  <c r="B612" i="5" a="1"/>
  <c r="B193" i="5" a="1"/>
  <c r="B194" i="5"/>
  <c r="B515" i="3" a="1"/>
  <c r="B1632" i="3" a="1"/>
  <c r="B1642" i="3" a="1"/>
  <c r="B535" i="3" a="1"/>
  <c r="B189" i="5" a="1"/>
  <c r="B610" i="5"/>
  <c r="B510" i="3"/>
  <c r="B1612" i="3" a="1"/>
  <c r="B200" i="5"/>
  <c r="B1585" i="3"/>
  <c r="B603" i="5"/>
  <c r="B1615" i="3"/>
  <c r="B196" i="5" a="1"/>
  <c r="B1609" i="3"/>
  <c r="B1622" i="3" a="1"/>
  <c r="B609" i="5" a="1"/>
  <c r="B512" i="3"/>
  <c r="B545" i="3" a="1"/>
  <c r="B525" i="3" a="1"/>
  <c r="B605" i="5" a="1"/>
  <c r="B612" i="5" l="1"/>
  <c r="B605" i="5"/>
  <c r="B609" i="5"/>
  <c r="B613" i="5"/>
  <c r="B607" i="5"/>
  <c r="B602" i="5"/>
  <c r="A615" i="5"/>
  <c r="B515" i="3"/>
  <c r="B545" i="3"/>
  <c r="B535" i="3"/>
  <c r="B1642" i="3"/>
  <c r="B1632" i="3"/>
  <c r="B1622" i="3"/>
  <c r="B1612" i="3"/>
  <c r="B525" i="3"/>
  <c r="B560" i="3"/>
  <c r="B587" i="3"/>
  <c r="B549" i="3"/>
  <c r="B548" i="3"/>
  <c r="B1657" i="3"/>
  <c r="B1646" i="3"/>
  <c r="B1684" i="3"/>
  <c r="B1645" i="3"/>
  <c r="A635" i="5"/>
  <c r="A637" i="5"/>
  <c r="A630" i="5"/>
  <c r="A642" i="5"/>
  <c r="A639" i="5"/>
  <c r="A636" i="5"/>
  <c r="A632" i="5"/>
  <c r="A638" i="5"/>
  <c r="A631" i="5"/>
  <c r="B196" i="5"/>
  <c r="B197" i="5"/>
  <c r="B189" i="5"/>
  <c r="B193" i="5"/>
  <c r="B217" i="5"/>
  <c r="B212" i="5"/>
  <c r="B137" i="6"/>
  <c r="A146" i="6"/>
  <c r="A1626" i="3"/>
  <c r="A1663" i="3"/>
  <c r="A1673" i="3"/>
  <c r="A1683" i="3"/>
  <c r="A1656" i="3"/>
  <c r="A1653" i="3"/>
  <c r="A1687" i="3"/>
  <c r="A1650" i="3"/>
  <c r="A1648" i="3"/>
  <c r="A1665" i="3"/>
  <c r="A1686" i="3"/>
  <c r="A225" i="5"/>
  <c r="A206" i="5"/>
  <c r="A209" i="5"/>
  <c r="A201" i="5"/>
  <c r="A207" i="5"/>
  <c r="A208" i="5"/>
  <c r="A210" i="5"/>
  <c r="A203" i="5"/>
  <c r="A213" i="5"/>
  <c r="A202" i="5"/>
  <c r="A589" i="3"/>
  <c r="A586" i="3"/>
  <c r="A590" i="3"/>
  <c r="A556" i="3"/>
  <c r="A576" i="3"/>
  <c r="A568" i="3"/>
  <c r="A559" i="3"/>
  <c r="A566" i="3"/>
  <c r="A551" i="3"/>
  <c r="A553" i="3"/>
  <c r="A529" i="3"/>
  <c r="B625" i="5" a="1"/>
  <c r="B619" i="5"/>
  <c r="B206" i="5" a="1"/>
  <c r="B1653" i="3" a="1"/>
  <c r="B626" i="5" a="1"/>
  <c r="B556" i="3" a="1"/>
  <c r="B553" i="3"/>
  <c r="B202" i="5" a="1"/>
  <c r="B622" i="5" a="1"/>
  <c r="B1663" i="3" a="1"/>
  <c r="B618" i="5" a="1"/>
  <c r="B1683" i="3" a="1"/>
  <c r="B1650" i="3"/>
  <c r="B203" i="5"/>
  <c r="B617" i="5"/>
  <c r="B529" i="3"/>
  <c r="B586" i="3" a="1"/>
  <c r="B576" i="3" a="1"/>
  <c r="B1665" i="3"/>
  <c r="B207" i="5"/>
  <c r="B568" i="3"/>
  <c r="B616" i="5"/>
  <c r="B624" i="5"/>
  <c r="B1648" i="3"/>
  <c r="B201" i="5"/>
  <c r="B1656" i="3"/>
  <c r="B551" i="3"/>
  <c r="B566" i="3" a="1"/>
  <c r="B208" i="5"/>
  <c r="B209" i="5" a="1"/>
  <c r="B559" i="3"/>
  <c r="B210" i="5" a="1"/>
  <c r="B623" i="5"/>
  <c r="B213" i="5"/>
  <c r="B1673" i="3" a="1"/>
  <c r="B1626" i="3"/>
  <c r="B618" i="5" l="1"/>
  <c r="B622" i="5"/>
  <c r="B626" i="5"/>
  <c r="B625" i="5"/>
  <c r="B620" i="5"/>
  <c r="A628" i="5"/>
  <c r="B615" i="5"/>
  <c r="B586" i="3"/>
  <c r="B1653" i="3"/>
  <c r="B566" i="3"/>
  <c r="B1683" i="3"/>
  <c r="B1673" i="3"/>
  <c r="B576" i="3"/>
  <c r="B1663" i="3"/>
  <c r="B556" i="3"/>
  <c r="B1698" i="3"/>
  <c r="B1725" i="3"/>
  <c r="B1687" i="3"/>
  <c r="B1686" i="3"/>
  <c r="B628" i="3"/>
  <c r="B601" i="3"/>
  <c r="B590" i="3"/>
  <c r="B589" i="3"/>
  <c r="A648" i="5"/>
  <c r="A652" i="5"/>
  <c r="A649" i="5"/>
  <c r="A645" i="5"/>
  <c r="A643" i="5"/>
  <c r="A651" i="5"/>
  <c r="A644" i="5"/>
  <c r="A650" i="5"/>
  <c r="B202" i="5"/>
  <c r="B209" i="5"/>
  <c r="B210" i="5"/>
  <c r="B206" i="5"/>
  <c r="B230" i="5"/>
  <c r="B225" i="5"/>
  <c r="B147" i="6"/>
  <c r="A156" i="6"/>
  <c r="B157" i="6" s="1"/>
  <c r="A1667" i="3"/>
  <c r="A1697" i="3"/>
  <c r="A1728" i="3"/>
  <c r="A1691" i="3"/>
  <c r="A1706" i="3"/>
  <c r="A1714" i="3"/>
  <c r="A1694" i="3"/>
  <c r="A1689" i="3"/>
  <c r="A1704" i="3"/>
  <c r="A1724" i="3"/>
  <c r="A1727" i="3"/>
  <c r="A238" i="5"/>
  <c r="A226" i="5"/>
  <c r="A214" i="5"/>
  <c r="A220" i="5"/>
  <c r="A221" i="5"/>
  <c r="A223" i="5"/>
  <c r="A216" i="5"/>
  <c r="A222" i="5"/>
  <c r="A215" i="5"/>
  <c r="A219" i="5"/>
  <c r="A630" i="3"/>
  <c r="A607" i="3"/>
  <c r="A594" i="3"/>
  <c r="A592" i="3"/>
  <c r="A631" i="3"/>
  <c r="A627" i="3"/>
  <c r="A617" i="3"/>
  <c r="A609" i="3"/>
  <c r="A600" i="3"/>
  <c r="A597" i="3"/>
  <c r="A570" i="3"/>
  <c r="B1697" i="3"/>
  <c r="B635" i="5" a="1"/>
  <c r="B639" i="5" a="1"/>
  <c r="B627" i="3" a="1"/>
  <c r="B637" i="5"/>
  <c r="B638" i="5" a="1"/>
  <c r="B597" i="3" a="1"/>
  <c r="B631" i="5" a="1"/>
  <c r="B1691" i="3"/>
  <c r="B223" i="5" a="1"/>
  <c r="B222" i="5" a="1"/>
  <c r="B1706" i="3"/>
  <c r="B1704" i="3" a="1"/>
  <c r="B592" i="3"/>
  <c r="B1694" i="3" a="1"/>
  <c r="B607" i="3" a="1"/>
  <c r="B629" i="5"/>
  <c r="B1724" i="3" a="1"/>
  <c r="B617" i="3" a="1"/>
  <c r="B1667" i="3"/>
  <c r="B219" i="5" a="1"/>
  <c r="B221" i="5"/>
  <c r="B594" i="3"/>
  <c r="B570" i="3"/>
  <c r="B226" i="5"/>
  <c r="B220" i="5"/>
  <c r="B600" i="3"/>
  <c r="B609" i="3"/>
  <c r="B216" i="5"/>
  <c r="B214" i="5"/>
  <c r="B630" i="5"/>
  <c r="B215" i="5" a="1"/>
  <c r="B636" i="5"/>
  <c r="B1714" i="3" a="1"/>
  <c r="B1689" i="3"/>
  <c r="B632" i="5"/>
  <c r="B631" i="5" l="1"/>
  <c r="B639" i="5"/>
  <c r="B635" i="5"/>
  <c r="B638" i="5"/>
  <c r="B633" i="5"/>
  <c r="B628" i="5"/>
  <c r="A641" i="5"/>
  <c r="B607" i="3"/>
  <c r="B1724" i="3"/>
  <c r="B1704" i="3"/>
  <c r="B597" i="3"/>
  <c r="B1714" i="3"/>
  <c r="B617" i="3"/>
  <c r="B627" i="3"/>
  <c r="B1694" i="3"/>
  <c r="B1727" i="3"/>
  <c r="B1766" i="3"/>
  <c r="B1739" i="3"/>
  <c r="B1728" i="3"/>
  <c r="B669" i="3"/>
  <c r="B631" i="3"/>
  <c r="B642" i="3"/>
  <c r="B630" i="3"/>
  <c r="B223" i="5"/>
  <c r="B219" i="5"/>
  <c r="B215" i="5"/>
  <c r="B222" i="5"/>
  <c r="B238" i="5"/>
  <c r="B243" i="5"/>
  <c r="A1708" i="3"/>
  <c r="A1768" i="3"/>
  <c r="A1755" i="3"/>
  <c r="A1769" i="3"/>
  <c r="A1732" i="3"/>
  <c r="A1747" i="3"/>
  <c r="A1730" i="3"/>
  <c r="A1745" i="3"/>
  <c r="A1765" i="3"/>
  <c r="A1738" i="3"/>
  <c r="A1735" i="3"/>
  <c r="A232" i="5"/>
  <c r="A227" i="5"/>
  <c r="A235" i="5"/>
  <c r="A234" i="5"/>
  <c r="A228" i="5"/>
  <c r="A229" i="5"/>
  <c r="A233" i="5"/>
  <c r="A236" i="5"/>
  <c r="A239" i="5"/>
  <c r="A611" i="3"/>
  <c r="A671" i="3"/>
  <c r="A648" i="3"/>
  <c r="A641" i="3"/>
  <c r="A638" i="3"/>
  <c r="A635" i="3"/>
  <c r="A633" i="3"/>
  <c r="A672" i="3"/>
  <c r="A668" i="3"/>
  <c r="A658" i="3"/>
  <c r="A650" i="3"/>
  <c r="B652" i="5" a="1"/>
  <c r="B633" i="3"/>
  <c r="B239" i="5"/>
  <c r="B1755" i="3" a="1"/>
  <c r="B229" i="5"/>
  <c r="B232" i="5" a="1"/>
  <c r="B228" i="5" a="1"/>
  <c r="B1765" i="3" a="1"/>
  <c r="B641" i="3"/>
  <c r="B638" i="3" a="1"/>
  <c r="B233" i="5"/>
  <c r="B1747" i="3"/>
  <c r="B643" i="5"/>
  <c r="B658" i="3" a="1"/>
  <c r="B227" i="5"/>
  <c r="B651" i="5" a="1"/>
  <c r="B642" i="5"/>
  <c r="B650" i="5"/>
  <c r="B648" i="3" a="1"/>
  <c r="B644" i="5" a="1"/>
  <c r="B1735" i="3" a="1"/>
  <c r="B235" i="5" a="1"/>
  <c r="B635" i="3"/>
  <c r="B234" i="5"/>
  <c r="B650" i="3"/>
  <c r="B645" i="5"/>
  <c r="B1730" i="3"/>
  <c r="B649" i="5"/>
  <c r="B1738" i="3"/>
  <c r="B668" i="3" a="1"/>
  <c r="B648" i="5" a="1"/>
  <c r="B611" i="3"/>
  <c r="B236" i="5" a="1"/>
  <c r="B1745" i="3" a="1"/>
  <c r="B1732" i="3"/>
  <c r="B1708" i="3"/>
  <c r="B648" i="5" l="1"/>
  <c r="B644" i="5"/>
  <c r="B651" i="5"/>
  <c r="B652" i="5"/>
  <c r="B646" i="5"/>
  <c r="B641" i="5"/>
  <c r="B1745" i="3"/>
  <c r="B1765" i="3"/>
  <c r="B658" i="3"/>
  <c r="B1755" i="3"/>
  <c r="B638" i="3"/>
  <c r="B668" i="3"/>
  <c r="B648" i="3"/>
  <c r="B1735" i="3"/>
  <c r="B710" i="3"/>
  <c r="B671" i="3"/>
  <c r="B683" i="3"/>
  <c r="B672" i="3"/>
  <c r="B1769" i="3"/>
  <c r="B1807" i="3"/>
  <c r="B1780" i="3"/>
  <c r="B1768" i="3"/>
  <c r="B232" i="5"/>
  <c r="B236" i="5"/>
  <c r="B228" i="5"/>
  <c r="B235" i="5"/>
  <c r="A1749" i="3"/>
  <c r="A1786" i="3"/>
  <c r="A1796" i="3"/>
  <c r="A1806" i="3"/>
  <c r="A1779" i="3"/>
  <c r="A1776" i="3"/>
  <c r="A1773" i="3"/>
  <c r="A1788" i="3"/>
  <c r="A1771" i="3"/>
  <c r="A242" i="5"/>
  <c r="A246" i="5"/>
  <c r="A248" i="5"/>
  <c r="A249" i="5"/>
  <c r="A240" i="5"/>
  <c r="A241" i="5"/>
  <c r="A247" i="5"/>
  <c r="A245" i="5"/>
  <c r="A689" i="3"/>
  <c r="A709" i="3"/>
  <c r="A699" i="3"/>
  <c r="A691" i="3"/>
  <c r="A682" i="3"/>
  <c r="A679" i="3"/>
  <c r="A676" i="3"/>
  <c r="A674" i="3"/>
  <c r="A652" i="3"/>
  <c r="B248" i="5" a="1"/>
  <c r="B240" i="5"/>
  <c r="B679" i="3" a="1"/>
  <c r="B1773" i="3"/>
  <c r="B247" i="5"/>
  <c r="B652" i="3"/>
  <c r="B249" i="5" a="1"/>
  <c r="B689" i="3" a="1"/>
  <c r="B1796" i="3" a="1"/>
  <c r="B1788" i="3"/>
  <c r="B242" i="5"/>
  <c r="B691" i="3"/>
  <c r="B709" i="3" a="1"/>
  <c r="B1786" i="3" a="1"/>
  <c r="B245" i="5" a="1"/>
  <c r="B1806" i="3" a="1"/>
  <c r="B676" i="3"/>
  <c r="B674" i="3"/>
  <c r="B682" i="3"/>
  <c r="B1771" i="3"/>
  <c r="B1779" i="3"/>
  <c r="B241" i="5" a="1"/>
  <c r="B1776" i="3" a="1"/>
  <c r="B699" i="3" a="1"/>
  <c r="B1749" i="3"/>
  <c r="B246" i="5"/>
  <c r="B1796" i="3" l="1"/>
  <c r="B679" i="3"/>
  <c r="B1786" i="3"/>
  <c r="B709" i="3"/>
  <c r="B689" i="3"/>
  <c r="B1776" i="3"/>
  <c r="B1806" i="3"/>
  <c r="B699" i="3"/>
  <c r="B241" i="5"/>
  <c r="B249" i="5"/>
  <c r="B248" i="5"/>
  <c r="B245" i="5"/>
  <c r="A1790" i="3"/>
  <c r="A693" i="3"/>
  <c r="B693" i="3"/>
  <c r="B1790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<sst xmlns="http://schemas.openxmlformats.org/spreadsheetml/2006/main" count="2583" uniqueCount="258">
  <si>
    <t>// **********************************************</t>
  </si>
  <si>
    <t>// &lt;i&gt; Value for MPU-&gt;CTRL register bit ENABLE</t>
  </si>
  <si>
    <t xml:space="preserve">//   &lt;q.2&gt; Privileged Default Access enable </t>
  </si>
  <si>
    <t>//   &lt;i&gt; Value for MPU-&gt;CTRL register bit PRIVDEFENA</t>
  </si>
  <si>
    <t>//   &lt;q.1&gt; MPU in Hard Fault and NMI enable</t>
  </si>
  <si>
    <t>//   &lt;i&gt; Value for MPU-&gt;CTRL register bit HFNMIENA</t>
  </si>
  <si>
    <t>//   &lt;i&gt; if set Memory Manage Faults are taken and might cause a Lockup State</t>
  </si>
  <si>
    <t>//   &lt;q&gt; Enable MPU Region</t>
  </si>
  <si>
    <t>//   &lt;o&gt;Start Address &lt;0x0-0xFFFFFFE0:0x20&gt;</t>
  </si>
  <si>
    <t>//     &lt;o&gt;Access Permissions     Privileged / Unpriviledged</t>
  </si>
  <si>
    <t>//   &lt;q&gt;Prohibit Instruction fetch</t>
  </si>
  <si>
    <t>//   &lt;i&gt; Please refere to the Sharability hint in the Memory Access Type list further down</t>
  </si>
  <si>
    <t xml:space="preserve">      Enable Privileged Default Access</t>
  </si>
  <si>
    <t xml:space="preserve">      Enable MPU in Hard Fault and NMI</t>
  </si>
  <si>
    <t xml:space="preserve">      Access Permissions     Priv / Unpriv</t>
  </si>
  <si>
    <t xml:space="preserve">      Prohibit Instruction fetch</t>
  </si>
  <si>
    <t xml:space="preserve">      Sharability</t>
  </si>
  <si>
    <t xml:space="preserve">      Enable Region</t>
  </si>
  <si>
    <t xml:space="preserve">      Start Address of Region</t>
  </si>
  <si>
    <t>/**************************************************************************//**</t>
  </si>
  <si>
    <t xml:space="preserve"> * @author   Remo Markgraf</t>
  </si>
  <si>
    <t xml:space="preserve"> ******************************************************************************/</t>
  </si>
  <si>
    <t>#include "cmsis_version.h"</t>
  </si>
  <si>
    <t>#if defined(__CM_CMSIS_VERSION_MAIN) &amp;&amp; __CM_CMSIS_VERSION_MAIN &gt;= 6</t>
  </si>
  <si>
    <t>#else</t>
  </si>
  <si>
    <t>#endif</t>
  </si>
  <si>
    <t>/*</t>
  </si>
  <si>
    <t>//-------- &lt;&lt;&lt; Use Configuration Wizard in Context Menu &gt;&gt;&gt; -----------------</t>
  </si>
  <si>
    <t>*/</t>
  </si>
  <si>
    <t>//   &lt;i&gt; Setup Region memory attributes</t>
  </si>
  <si>
    <t>{</t>
  </si>
  <si>
    <t>#if defined(__MPU_PRESENT) &amp;&amp; (__MPU_PRESENT == 1U)</t>
  </si>
  <si>
    <t xml:space="preserve">  #endif</t>
  </si>
  <si>
    <t xml:space="preserve">  #endif </t>
  </si>
  <si>
    <t>#endif //__MPU_PRESENT</t>
  </si>
  <si>
    <t>www.tnms.de</t>
  </si>
  <si>
    <t>static inline void MPU_Init(void)</t>
  </si>
  <si>
    <t>Size</t>
  </si>
  <si>
    <t>Limit</t>
  </si>
  <si>
    <t>Base</t>
  </si>
  <si>
    <t>#ifdef __cplusplus</t>
  </si>
  <si>
    <t>extern "C" {</t>
  </si>
  <si>
    <t>} // extern "C"</t>
  </si>
  <si>
    <t xml:space="preserve"> Copyright (C) 2026 Remo Markgraf</t>
  </si>
  <si>
    <t xml:space="preserve">      End Address of Region (=Limit+1)</t>
  </si>
  <si>
    <t>RW/--        RW Priv</t>
  </si>
  <si>
    <t>R-/--          RO Priv</t>
  </si>
  <si>
    <t>R-/R-         RO any</t>
  </si>
  <si>
    <t>RW/RW      RW any</t>
  </si>
  <si>
    <t xml:space="preserve">      Prohibit Priv Instruction fetch</t>
  </si>
  <si>
    <t xml:space="preserve">      Attribution Indirection</t>
  </si>
  <si>
    <t xml:space="preserve"> * @brief    MPU Static Setup for armv8-M including Keil Configuration Wizard</t>
  </si>
  <si>
    <t>#include "m-profile/armv8m_mpu.h"</t>
  </si>
  <si>
    <t>#include "mpu_armv8.h"</t>
  </si>
  <si>
    <t>//   &lt;i&gt; MPU regions may NOT overlap and must be aligned to 32bytes</t>
  </si>
  <si>
    <t>//   &lt;o&gt;End Address (=Limit+1) &lt;0x0-0xFFFFFFE0:0x20&gt;</t>
  </si>
  <si>
    <t>//   &lt;i&gt; Minimum region size is 32bytes and must be aligned to 32bytes</t>
  </si>
  <si>
    <t>//         &lt;0=&gt;RW/--</t>
  </si>
  <si>
    <t>//         &lt;1=&gt;RW/RW</t>
  </si>
  <si>
    <t>//         &lt;2=&gt;R-/--</t>
  </si>
  <si>
    <t>//         &lt;3=&gt;R-/R-</t>
  </si>
  <si>
    <t>//   &lt;q&gt;Prohibit Priv Instruction fetch (armv8.1 only)</t>
  </si>
  <si>
    <t>//   &lt;o&gt;Memory Attribution Indirection</t>
  </si>
  <si>
    <t>//details Writes region defines into MPU registers RNR, RBAR and RLAR</t>
  </si>
  <si>
    <t xml:space="preserve">    ARM_MPU_SetRegion( (num &amp; MPU_RNR_REGION_Msk),\</t>
  </si>
  <si>
    <t>Outer Shareable</t>
  </si>
  <si>
    <t>Inner  Shareable</t>
  </si>
  <si>
    <t xml:space="preserve">Non    Shareable     </t>
  </si>
  <si>
    <t>Reserved</t>
  </si>
  <si>
    <t>//   &lt;o&gt;Shareable</t>
  </si>
  <si>
    <t xml:space="preserve">//         &lt;0=&gt;Non   Shareable  </t>
  </si>
  <si>
    <t xml:space="preserve">//         &lt;2=&gt;Outer Shareable </t>
  </si>
  <si>
    <t>//         &lt;3=&gt;Inner Shareable</t>
  </si>
  <si>
    <t>00000000</t>
  </si>
  <si>
    <t>00000020</t>
  </si>
  <si>
    <t xml:space="preserve">//         &lt;0=&gt;Attr Ind 0  </t>
  </si>
  <si>
    <t xml:space="preserve">//         &lt;1=&gt;Attr Ind 1  </t>
  </si>
  <si>
    <t xml:space="preserve">//         &lt;2=&gt;Attr Ind 2  </t>
  </si>
  <si>
    <t xml:space="preserve">//         &lt;3=&gt;Attr Ind 3  </t>
  </si>
  <si>
    <t xml:space="preserve">//         &lt;4=&gt;Attr Ind 4  </t>
  </si>
  <si>
    <t xml:space="preserve">//         &lt;5=&gt;Attr Ind 5  </t>
  </si>
  <si>
    <t xml:space="preserve">//         &lt;6=&gt;Attr Ind 6  </t>
  </si>
  <si>
    <t xml:space="preserve">//         &lt;7=&gt;Attr Ind 7 </t>
  </si>
  <si>
    <t>20000000</t>
  </si>
  <si>
    <t>20000020</t>
  </si>
  <si>
    <t xml:space="preserve">      Memory Type</t>
  </si>
  <si>
    <t>Non   Cache</t>
  </si>
  <si>
    <t xml:space="preserve">                  Read Allocate</t>
  </si>
  <si>
    <t xml:space="preserve">                  Write Allocate</t>
  </si>
  <si>
    <r>
      <t xml:space="preserve">         </t>
    </r>
    <r>
      <rPr>
        <b/>
        <sz val="11"/>
        <color theme="1"/>
        <rFont val="Aptos Narrow"/>
        <family val="2"/>
        <scheme val="minor"/>
      </rPr>
      <t>Oute</t>
    </r>
    <r>
      <rPr>
        <sz val="11"/>
        <color theme="1"/>
        <rFont val="Aptos Narrow"/>
        <family val="2"/>
        <scheme val="minor"/>
      </rPr>
      <t>r Attributes</t>
    </r>
  </si>
  <si>
    <r>
      <t xml:space="preserve">         </t>
    </r>
    <r>
      <rPr>
        <b/>
        <sz val="11"/>
        <color theme="1"/>
        <rFont val="Aptos Narrow"/>
        <family val="2"/>
        <scheme val="minor"/>
      </rPr>
      <t>Inner</t>
    </r>
    <r>
      <rPr>
        <sz val="11"/>
        <color theme="1"/>
        <rFont val="Aptos Narrow"/>
        <family val="2"/>
        <scheme val="minor"/>
      </rPr>
      <t xml:space="preserve"> Attributes</t>
    </r>
  </si>
  <si>
    <t>Non-Trans WB</t>
  </si>
  <si>
    <t>Non-Trans WT</t>
  </si>
  <si>
    <t xml:space="preserve"> Trans WB</t>
  </si>
  <si>
    <t>Trans WT</t>
  </si>
  <si>
    <t>Device nGnRnE</t>
  </si>
  <si>
    <t>Device nGnR  E</t>
  </si>
  <si>
    <t>Device nG  R  E</t>
  </si>
  <si>
    <t>Device G  R  E</t>
  </si>
  <si>
    <t>Normal Memory</t>
  </si>
  <si>
    <t>Default Int. SRAM   Sharable</t>
  </si>
  <si>
    <t>Default Ext. SRAM  Sharable</t>
  </si>
  <si>
    <t>Default Peripheral  Sharable</t>
  </si>
  <si>
    <t>Default Flash  Non-Sharable</t>
  </si>
  <si>
    <t xml:space="preserve">      Optional Name</t>
  </si>
  <si>
    <t>C</t>
  </si>
  <si>
    <t>AA</t>
  </si>
  <si>
    <t>FF</t>
  </si>
  <si>
    <t>Write Through Trans</t>
  </si>
  <si>
    <t>Write Through Non-Trans</t>
  </si>
  <si>
    <t>Write Back       Trans</t>
  </si>
  <si>
    <t>Write Back       Non-Trans</t>
  </si>
  <si>
    <t>//Setup MPU Region Register</t>
  </si>
  <si>
    <t>//         &lt;0xAA=&gt;DEFAULT Flash  Non-Sharable</t>
  </si>
  <si>
    <t>//         &lt;0xAA=&gt;DEFAULT Int. SRAM  Sharable</t>
  </si>
  <si>
    <t>//         &lt;0xFF=&gt;DEFAULT Ext. SRAM  Sharable</t>
  </si>
  <si>
    <t>//         &lt;0x00=&gt;DEFAULT Peripheral  Sharable</t>
  </si>
  <si>
    <t>//         &lt;0x01=&gt;NORMAL Memory</t>
  </si>
  <si>
    <t>//         &lt;0x00=&gt;DEVICE nGnRnE</t>
  </si>
  <si>
    <t>//         &lt;0x04=&gt;DEVICE nGnR E</t>
  </si>
  <si>
    <t>//         &lt;0x08=&gt;DEVICE nG R E</t>
  </si>
  <si>
    <t>//         &lt;0x0C=&gt;DEVICE G  R E</t>
  </si>
  <si>
    <t>//   &lt;o&gt;OUTER Cache Policy</t>
  </si>
  <si>
    <t>//         &lt;0x00=&gt;Write Through Trans</t>
  </si>
  <si>
    <t>//         &lt;0x40=&gt;Write Back       Trans</t>
  </si>
  <si>
    <t>//         &lt;0x80=&gt;Write Through Non-Trans</t>
  </si>
  <si>
    <t>//         &lt;0xC0=&gt;Write Back       Non-Trans</t>
  </si>
  <si>
    <t>//   &lt;o&gt;INNER Cache Poloicy</t>
  </si>
  <si>
    <t>//         &lt;0x00=&gt;Write Through Transient</t>
  </si>
  <si>
    <t>//         &lt;0x04=&gt;Write Back       Transient</t>
  </si>
  <si>
    <t>//         &lt;0x08=&gt;Write Through Non-Transient</t>
  </si>
  <si>
    <t>//         &lt;0x0C=&gt;Write Back       Non-Transient</t>
  </si>
  <si>
    <t xml:space="preserve">//   &lt;q.4&gt;OUTER Cache READ  allocate enable </t>
  </si>
  <si>
    <t xml:space="preserve">//   &lt;q.5&gt;OUTER Cache WRITE allocate enable </t>
  </si>
  <si>
    <t xml:space="preserve">//   &lt;q.0&gt;INNER Cache READ  allocate enable </t>
  </si>
  <si>
    <t xml:space="preserve">//   &lt;q.1&gt;INNER Cache WRITE allocate enable </t>
  </si>
  <si>
    <t>//         &lt;0x10=&gt;Non   Cache</t>
  </si>
  <si>
    <t>//         &lt;0x01=&gt;Non   Cache</t>
  </si>
  <si>
    <t>//</t>
  </si>
  <si>
    <t>AI3</t>
  </si>
  <si>
    <t>AI4</t>
  </si>
  <si>
    <t>AI5</t>
  </si>
  <si>
    <t>AI6</t>
  </si>
  <si>
    <t xml:space="preserve"> * @brief    MPU Static Setup for armv8-M</t>
  </si>
  <si>
    <t xml:space="preserve">  if( num &lt; ((MPU-&gt;TYPE &amp; MPU_TYPE_DREGION_Msk)&gt;&gt;MPU_TYPE_DREGION_Pos)) \</t>
  </si>
  <si>
    <t xml:space="preserve">  {\</t>
  </si>
  <si>
    <t xml:space="preserve">  }</t>
  </si>
  <si>
    <t>Enable MPU_NS</t>
  </si>
  <si>
    <t>Def FLASH</t>
  </si>
  <si>
    <t>Def Int SRAM</t>
  </si>
  <si>
    <t>Def Periph</t>
  </si>
  <si>
    <t>Enable MPU_S</t>
  </si>
  <si>
    <t>// &lt;e&gt; Enable MPU_S</t>
  </si>
  <si>
    <t>#define MPU_S_INIT_CTRL_BITS  (MPU_S_INIT_CTRL_PRIVDEFENA | MPU_S_INIT_CTRL_HFNMIENA)</t>
  </si>
  <si>
    <t>// &lt;/e&gt;   //Enable MPU_S</t>
  </si>
  <si>
    <t>// &lt;h&gt;Initialize MPU_S Regions</t>
  </si>
  <si>
    <t>// &lt;h&gt;SECURE MPU</t>
  </si>
  <si>
    <t>// &lt;h&gt;Initialize MPU_S Attribution Indirection</t>
  </si>
  <si>
    <t>// &lt;h&gt;NON-SECURE MPU</t>
  </si>
  <si>
    <t>// &lt;h&gt;Initialize MPU_NS Attribution Indirection</t>
  </si>
  <si>
    <t>// &lt;h&gt;Initialize MPU_NS Regions</t>
  </si>
  <si>
    <t>// &lt;/h&gt;     //Initialize MPU_NS Regions</t>
  </si>
  <si>
    <t>// &lt;e&gt; Enable MPU_NS</t>
  </si>
  <si>
    <t>// &lt;i&gt; Value for MPU_NS-&gt;CTRL register bit ENABLE</t>
  </si>
  <si>
    <t>//   &lt;i&gt; Value for MPU_NS-&gt;CTRL register bit PRIVDEFENA</t>
  </si>
  <si>
    <t>//   &lt;i&gt; Value for MPU_NS-&gt;CTRL register bit HFNMIENA</t>
  </si>
  <si>
    <t>#define MPU_NS_INIT_CTRL_BITS  (MPU_NS_INIT_CTRL_PRIVDEFENA | MPU_NS_INIT_CTRL_HFNMIENA)</t>
  </si>
  <si>
    <t>// &lt;/e&gt;   //Enable MPU_NS</t>
  </si>
  <si>
    <t>// &lt;i&gt;Configures the Non-Secure MPU during startup in Secure Mode</t>
  </si>
  <si>
    <t>// &lt;i&gt;Configures the Secure MPU during startup in Secure Mode</t>
  </si>
  <si>
    <t>// &lt;i&gt; uses CMSIS 5 __TZ_MPUxxx_NS() functions</t>
  </si>
  <si>
    <t>// &lt;i&gt; uses CMSIS 5 MPUxxx() functions</t>
  </si>
  <si>
    <t>}</t>
  </si>
  <si>
    <t>//details Configures Secure MPU</t>
  </si>
  <si>
    <t>//details Configures Secure and Non-Secure MPU</t>
  </si>
  <si>
    <t>//details Configures Non-Secure MPU from Secure Mode</t>
  </si>
  <si>
    <t>//details Writes region defines into MPU_NS registers RNR, RBAR and RLAR</t>
  </si>
  <si>
    <t>#define MPU_NS_CONFIG_REGION(num)\</t>
  </si>
  <si>
    <t xml:space="preserve">    ARM_MPU_SetRegion_NS( (num &amp; MPU_RNR_REGION_Msk),\</t>
  </si>
  <si>
    <t>//Setup MPU_NS Region Register</t>
  </si>
  <si>
    <t xml:space="preserve">  #if defined (MPU_NS_INIT_CTRL_ENABLE) &amp;&amp; (MPU_NS_INIT_CTRL_ENABLE== 1U)</t>
  </si>
  <si>
    <t xml:space="preserve">    ARM_MPU_Enable_NS( MPU_NS_INIT_CTRL_BITS );</t>
  </si>
  <si>
    <t>//brief   MPU_Init</t>
  </si>
  <si>
    <t>}   //MPU_NS_Config</t>
  </si>
  <si>
    <t>//brief   MPU_NS_Config</t>
  </si>
  <si>
    <t>static inline void MPU_NS_Config(void)</t>
  </si>
  <si>
    <t>PERIPHERAL (Share)</t>
  </si>
  <si>
    <t>Int RAM (Share)</t>
  </si>
  <si>
    <t>FLASH (NonShare)</t>
  </si>
  <si>
    <t>00000040</t>
  </si>
  <si>
    <t>AI7</t>
  </si>
  <si>
    <t xml:space="preserve"> * @file     armv8m_mpu_config.h</t>
  </si>
  <si>
    <t>#ifndef ARMV8M_MPU_CONFIG_H</t>
  </si>
  <si>
    <t>#define ARMV8M_MPU_CONFIG_H</t>
  </si>
  <si>
    <t>#endif  //ARMV8M_MPU_CONFIG_H</t>
  </si>
  <si>
    <t>#define MPU_S_CONFIG_REGION(num)\</t>
  </si>
  <si>
    <t>}   //MPU_S_CONFIG</t>
  </si>
  <si>
    <t xml:space="preserve">  MPU_NS_Config();   //configure Non-Secure MPU if present</t>
  </si>
  <si>
    <t xml:space="preserve">  MPU_S_Config();    //configure Secure MPU</t>
  </si>
  <si>
    <t>//brief   MPU_S_Config</t>
  </si>
  <si>
    <t>static inline void MPU_S_Config(void)</t>
  </si>
  <si>
    <t xml:space="preserve">  #if defined (MPU_S_INIT_CTRL_ENABLE) &amp;&amp; (MPU_S_INIT_CTRL_ENABLE== 1U)</t>
  </si>
  <si>
    <t xml:space="preserve">    ARM_MPU_Enable( MPU_S_INIT_CTRL_BITS );</t>
  </si>
  <si>
    <t>// &lt;/h&gt;    //SECURE MPU</t>
  </si>
  <si>
    <t>//  &lt;/h&gt;   //Initialize MPU_S Attribution Indirection</t>
  </si>
  <si>
    <t>// &lt;/h&gt;   //Initialize MPU_S Regions</t>
  </si>
  <si>
    <t>#endif //__ARM_FEATURE_CMSE</t>
  </si>
  <si>
    <t xml:space="preserve">  //Setup Attribution Indirection Register</t>
  </si>
  <si>
    <t>//Setup Non-Secure Attribution Indirection Register</t>
  </si>
  <si>
    <t>#endif //__ARM_FEATURE_CMSE)</t>
  </si>
  <si>
    <t>// *** SECURE MPU ***</t>
  </si>
  <si>
    <t>// *** NON-SECURE MPU ***</t>
  </si>
  <si>
    <t>// **********************</t>
  </si>
  <si>
    <t>// ******************</t>
  </si>
  <si>
    <t>//      MPU_S_PERM_REGx    0=RW/-- 1=RW/RW 2=R-/-- 3=R-/R-</t>
  </si>
  <si>
    <t>// Initialize MPU_S Attribution Indirection</t>
  </si>
  <si>
    <t>//      MPU_NS_PERM_REGx    0=RW/-- 1=RW/RW 2=R-/-- 3=R-/R-</t>
  </si>
  <si>
    <t>// Initialize MPU_NS Attribution Indirection</t>
  </si>
  <si>
    <t xml:space="preserve">  if( num &lt; ((MPU_NS-&gt;TYPE &amp; MPU_TYPE_DREGION_Msk)&gt;&gt;MPU_TYPE_DREGION_Pos)) \</t>
  </si>
  <si>
    <t>static inline void MPU_S_Config(void);</t>
  </si>
  <si>
    <t>static inline void MPU_NS_Config(void);</t>
  </si>
  <si>
    <t>static inline void MPU_Init(void);</t>
  </si>
  <si>
    <t>//details Calls MPU_S_Config() and MPU_NS_Config()</t>
  </si>
  <si>
    <t>// MPU CONFIG Macros and MPU Init Functions</t>
  </si>
  <si>
    <t xml:space="preserve">    ARM_MPU_RBAR(MPU_S_BASE_REG##num, MPU_S_SHARE_REG##num, ((MPU_S_PERM_REG##num&gt;&gt;1) &amp; 1u), (MPU_S_PERM_REG##num &amp; 1u), MPU_S_XN_REG##num),\</t>
  </si>
  <si>
    <t xml:space="preserve">    ARM_MPU_RLAR_PXN(MPU_S_LIMIT_REG##num, MPU_S_PXN_REG##num, MPU_S_ATTRIND##num) );\</t>
  </si>
  <si>
    <t xml:space="preserve">    ARM_MPU_RBAR(MPU_NS_BASE_REG##num, MPU_NS_SHARE_REG##num, ((MPU_NS_PERM_REG##num&gt;&gt;1) &amp; 1u), (MPU_NS_PERM_REG##num &amp; 1u), MPU_NS_XN_REG##num),\</t>
  </si>
  <si>
    <t xml:space="preserve">    ARM_MPU_RLAR_PXN(MPU_NS_LIMIT_REG##num, MPU_NS_PXN_REG##num, MPU_NS_ATTRIND##num) );\</t>
  </si>
  <si>
    <t>//   &lt;q&gt; Enable MPU_S Region</t>
  </si>
  <si>
    <t xml:space="preserve"> * Copyright (C) 2026 Remo Markgraf info@tnms.de All rights reserved.</t>
  </si>
  <si>
    <t xml:space="preserve"> * @warning</t>
  </si>
  <si>
    <t xml:space="preserve"> * THE SOFTWARE IS PROVIDED "AS IS", WITHOUT WARRANTY OF ANY KIND, EXPRESS,</t>
  </si>
  <si>
    <t xml:space="preserve"> * IMPLIED OR STATUTORY, INCLUDING, BUT NOT LIMITED TO, THE WARRANTIES OF</t>
  </si>
  <si>
    <t xml:space="preserve"> * MERCHANTABILITY, FITNESS FOR A PARTICULAR PURPOSE AND NONINFRINGEMENT TO</t>
  </si>
  <si>
    <t xml:space="preserve"> * THIS SOFTWARE. IN NO EVENT SHALL THE AUTHOR BE LIABLE FOR ANY CLAIM,</t>
  </si>
  <si>
    <t xml:space="preserve"> * DAMAGES OR OTHER LIABILITY, WHETHER IN AN ACTION OF CONTRACT, TORT OR</t>
  </si>
  <si>
    <t xml:space="preserve"> * OTHERWISE, ARISING FROM, OUT OF OR IN CONNECTION WITH THE SOFTWARE OR THE</t>
  </si>
  <si>
    <t xml:space="preserve"> * USE OR OTHER DEALINGS IN THE SOFTWARE.</t>
  </si>
  <si>
    <t>#define MPU_NS_INIT_BITS        (MPU_NS_INIT_PRIVDEFENA | MPU_NS_INIT_HFNMIENA)</t>
  </si>
  <si>
    <t>// MPU_NS Global Enable</t>
  </si>
  <si>
    <t>// MPU_S Global Enable</t>
  </si>
  <si>
    <t>#define MPU_S_INIT_CTRL_BITS        (MPU_S_INIT_CTRL_PRIVDEFENA | MPU_S_INIT_CTRL_HFNMIENA)</t>
  </si>
  <si>
    <t>Secure MPU</t>
  </si>
  <si>
    <t>Non-Secure MPU</t>
  </si>
  <si>
    <t>#define PXN_SUPPORTED 1</t>
  </si>
  <si>
    <t>#define PXN_SUPPORTED 0</t>
  </si>
  <si>
    <t>#if defined(PXN_SUPPORTED) &amp; (PXN_SUPPORTED == 1)</t>
  </si>
  <si>
    <t>#else // PXN_SUPPORTED</t>
  </si>
  <si>
    <t xml:space="preserve">    ARM_MPU_RLAR(MPU_S_LIMIT_REG##num, MPU_S_ATTRIND##num) );\</t>
  </si>
  <si>
    <t xml:space="preserve">    ARM_MPU_RLAR(MPU_NS_LIMIT_REG##num, MPU_NS_ATTRIND##num) );\</t>
  </si>
  <si>
    <t>#endif // PXN_SUPPORTED</t>
  </si>
  <si>
    <t xml:space="preserve"> * @version  V1.02</t>
  </si>
  <si>
    <t xml:space="preserve"> * @date     12th of Feb 2026</t>
  </si>
  <si>
    <t>armv8-M     V1.02
       12th of Feb 2026</t>
  </si>
  <si>
    <t>armv8-M     V1.02
      12th of Feb 2026</t>
  </si>
  <si>
    <t>// &lt;/h&gt;    //NON-SECURE MPU</t>
  </si>
  <si>
    <t>//  &lt;/h&gt;   //Initialize MPU_NS Attribution Indirection</t>
  </si>
  <si>
    <t>#if defined (__ARM_FEATURE_CMSE) &amp;&amp; (__ARM_FEATURE_CMSE == 3U)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</si>
</sst>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&quot;0x&quot;@"/>
    <numFmt numFmtId="165" formatCode="&quot;0x&quot;00000000"/>
    <numFmt numFmtId="166" formatCode="00000000"/>
    <numFmt numFmtId="167" formatCode="\'00000000"/>
  </numFmts>
  <fonts count="13" x14ac:knownFonts="1">
    <font>
      <sz val="11"/>
      <color theme="1"/>
      <name val="Aptos Narrow"/>
      <family val="2"/>
      <scheme val="minor"/>
    </font>
    <font>
      <sz val="8"/>
      <color rgb="FF000000"/>
      <name val="Segoe U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ourier New"/>
      <family val="3"/>
    </font>
    <font>
      <sz val="8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43" fontId="6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quotePrefix="1"/>
    <xf numFmtId="0" fontId="0" fillId="2" borderId="0" xfId="0" applyFill="1"/>
    <xf numFmtId="0" fontId="4" fillId="0" borderId="0" xfId="1" applyFill="1"/>
    <xf numFmtId="0" fontId="0" fillId="0" borderId="0" xfId="0" applyProtection="1">
      <protection locked="0" hidden="1"/>
    </xf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4" borderId="6" xfId="0" applyFill="1" applyBorder="1"/>
    <xf numFmtId="0" fontId="7" fillId="0" borderId="0" xfId="0" applyFont="1" applyAlignment="1">
      <alignment horizontal="right"/>
    </xf>
    <xf numFmtId="165" fontId="0" fillId="0" borderId="0" xfId="2" applyNumberFormat="1" applyFont="1" applyProtection="1">
      <protection locked="0" hidden="1"/>
    </xf>
    <xf numFmtId="165" fontId="7" fillId="0" borderId="0" xfId="0" applyNumberFormat="1" applyFont="1" applyAlignment="1">
      <alignment horizontal="left"/>
    </xf>
    <xf numFmtId="166" fontId="7" fillId="0" borderId="0" xfId="0" applyNumberFormat="1" applyFont="1" applyAlignment="1">
      <alignment horizontal="left"/>
    </xf>
    <xf numFmtId="167" fontId="7" fillId="0" borderId="0" xfId="2" applyNumberFormat="1" applyFont="1" applyAlignment="1" applyProtection="1">
      <alignment horizontal="left"/>
    </xf>
    <xf numFmtId="164" fontId="8" fillId="0" borderId="3" xfId="0" applyNumberFormat="1" applyFont="1" applyBorder="1" applyProtection="1">
      <protection locked="0"/>
    </xf>
    <xf numFmtId="0" fontId="0" fillId="3" borderId="0" xfId="0" applyFill="1" applyAlignment="1">
      <alignment horizontal="right" vertical="center" wrapText="1"/>
    </xf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 hidden="1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center"/>
      <protection locked="0" hidden="1"/>
    </xf>
    <xf numFmtId="0" fontId="0" fillId="3" borderId="0" xfId="0" applyFill="1"/>
    <xf numFmtId="0" fontId="9" fillId="0" borderId="0" xfId="0" applyFont="1"/>
    <xf numFmtId="0" fontId="0" fillId="5" borderId="0" xfId="0" applyFill="1"/>
    <xf numFmtId="0" fontId="12" fillId="3" borderId="0" xfId="0" applyFont="1" applyFill="1"/>
    <xf numFmtId="0" fontId="0" fillId="6" borderId="0" xfId="0" applyFill="1"/>
    <xf numFmtId="0" fontId="0" fillId="7" borderId="6" xfId="0" applyFill="1" applyBorder="1" applyAlignment="1">
      <alignment horizontal="right"/>
    </xf>
    <xf numFmtId="49" fontId="11" fillId="8" borderId="3" xfId="0" applyNumberFormat="1" applyFont="1" applyFill="1" applyBorder="1" applyProtection="1">
      <protection locked="0"/>
    </xf>
    <xf numFmtId="0" fontId="2" fillId="8" borderId="3" xfId="0" applyFont="1" applyFill="1" applyBorder="1"/>
  </cellXfs>
  <cellStyles count="3">
    <cellStyle name="Komma" xfId="2" builtinId="3"/>
    <cellStyle name="Link" xfId="1" builtinId="8"/>
    <cellStyle name="Standard" xfId="0" builtinId="0"/>
  </cellStyles>
  <dxfs count="212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5" dropStyle="combo" dx="22" fmlaLink="$A$184" fmlaRange="$B$274:$B$278" noThreeD="1" sel="1" val="0"/>
</file>

<file path=xl/ctrlProps/ctrlProp10.xml><?xml version="1.0" encoding="utf-8"?>
<formControlPr xmlns="http://schemas.microsoft.com/office/spreadsheetml/2009/9/main" objectType="CheckBox" checked="Checked" fmlaLink="$A$7" lockText="1" noThreeD="1"/>
</file>

<file path=xl/ctrlProps/ctrlProp100.xml><?xml version="1.0" encoding="utf-8"?>
<formControlPr xmlns="http://schemas.microsoft.com/office/spreadsheetml/2009/9/main" objectType="Drop" dropStyle="combo" dx="22" fmlaLink="$A$95" fmlaRange="$B$257:$B$264" noThreeD="1" sel="1" val="0"/>
</file>

<file path=xl/ctrlProps/ctrlProp101.xml><?xml version="1.0" encoding="utf-8"?>
<formControlPr xmlns="http://schemas.microsoft.com/office/spreadsheetml/2009/9/main" objectType="CheckBox" fmlaLink="$A$93" lockText="1" noThreeD="1"/>
</file>

<file path=xl/ctrlProps/ctrlProp102.xml><?xml version="1.0" encoding="utf-8"?>
<formControlPr xmlns="http://schemas.microsoft.com/office/spreadsheetml/2009/9/main" objectType="Drop" dropLines="4" dropStyle="combo" dx="22" fmlaLink="$A$94" fmlaRange="$B$253:$B$256" noThreeD="1" sel="1" val="0"/>
</file>

<file path=xl/ctrlProps/ctrlProp103.xml><?xml version="1.0" encoding="utf-8"?>
<formControlPr xmlns="http://schemas.microsoft.com/office/spreadsheetml/2009/9/main" objectType="CheckBox" fmlaLink="$A$97" lockText="1" noThreeD="1"/>
</file>

<file path=xl/ctrlProps/ctrlProp104.xml><?xml version="1.0" encoding="utf-8"?>
<formControlPr xmlns="http://schemas.microsoft.com/office/spreadsheetml/2009/9/main" objectType="CheckBox" fmlaLink="$A$98" lockText="1" noThreeD="1"/>
</file>

<file path=xl/ctrlProps/ctrlProp105.xml><?xml version="1.0" encoding="utf-8"?>
<formControlPr xmlns="http://schemas.microsoft.com/office/spreadsheetml/2009/9/main" objectType="Drop" dropLines="4" dropStyle="combo" dx="22" fmlaLink="$A$101" fmlaRange="$B$249:$B$252" noThreeD="1" sel="1" val="0"/>
</file>

<file path=xl/ctrlProps/ctrlProp106.xml><?xml version="1.0" encoding="utf-8"?>
<formControlPr xmlns="http://schemas.microsoft.com/office/spreadsheetml/2009/9/main" objectType="CheckBox" fmlaLink="$A$102" lockText="1" noThreeD="1"/>
</file>

<file path=xl/ctrlProps/ctrlProp107.xml><?xml version="1.0" encoding="utf-8"?>
<formControlPr xmlns="http://schemas.microsoft.com/office/spreadsheetml/2009/9/main" objectType="Drop" dropStyle="combo" dx="22" fmlaLink="$A$105" fmlaRange="$B$257:$B$264" noThreeD="1" sel="1" val="0"/>
</file>

<file path=xl/ctrlProps/ctrlProp108.xml><?xml version="1.0" encoding="utf-8"?>
<formControlPr xmlns="http://schemas.microsoft.com/office/spreadsheetml/2009/9/main" objectType="CheckBox" fmlaLink="$A$103" lockText="1" noThreeD="1"/>
</file>

<file path=xl/ctrlProps/ctrlProp109.xml><?xml version="1.0" encoding="utf-8"?>
<formControlPr xmlns="http://schemas.microsoft.com/office/spreadsheetml/2009/9/main" objectType="Drop" dropLines="4" dropStyle="combo" dx="22" fmlaLink="$A$104" fmlaRange="$B$253:$B$256" noThreeD="1" sel="1" val="0"/>
</file>

<file path=xl/ctrlProps/ctrlProp11.xml><?xml version="1.0" encoding="utf-8"?>
<formControlPr xmlns="http://schemas.microsoft.com/office/spreadsheetml/2009/9/main" objectType="CheckBox" checked="Checked" fmlaLink="$A$8" lockText="1" noThreeD="1"/>
</file>

<file path=xl/ctrlProps/ctrlProp110.xml><?xml version="1.0" encoding="utf-8"?>
<formControlPr xmlns="http://schemas.microsoft.com/office/spreadsheetml/2009/9/main" objectType="CheckBox" fmlaLink="$A$107" lockText="1" noThreeD="1"/>
</file>

<file path=xl/ctrlProps/ctrlProp111.xml><?xml version="1.0" encoding="utf-8"?>
<formControlPr xmlns="http://schemas.microsoft.com/office/spreadsheetml/2009/9/main" objectType="CheckBox" checked="Checked" fmlaLink="$A$108" lockText="1" noThreeD="1"/>
</file>

<file path=xl/ctrlProps/ctrlProp112.xml><?xml version="1.0" encoding="utf-8"?>
<formControlPr xmlns="http://schemas.microsoft.com/office/spreadsheetml/2009/9/main" objectType="Drop" dropLines="4" dropStyle="combo" dx="22" fmlaLink="$A$111" fmlaRange="$B$249:$B$252" noThreeD="1" sel="1" val="0"/>
</file>

<file path=xl/ctrlProps/ctrlProp113.xml><?xml version="1.0" encoding="utf-8"?>
<formControlPr xmlns="http://schemas.microsoft.com/office/spreadsheetml/2009/9/main" objectType="CheckBox" fmlaLink="$A$112" lockText="1" noThreeD="1"/>
</file>

<file path=xl/ctrlProps/ctrlProp114.xml><?xml version="1.0" encoding="utf-8"?>
<formControlPr xmlns="http://schemas.microsoft.com/office/spreadsheetml/2009/9/main" objectType="Drop" dropStyle="combo" dx="22" fmlaLink="$A$115" fmlaRange="$B$257:$B$264" noThreeD="1" sel="1" val="0"/>
</file>

<file path=xl/ctrlProps/ctrlProp115.xml><?xml version="1.0" encoding="utf-8"?>
<formControlPr xmlns="http://schemas.microsoft.com/office/spreadsheetml/2009/9/main" objectType="CheckBox" fmlaLink="$A$113" lockText="1" noThreeD="1"/>
</file>

<file path=xl/ctrlProps/ctrlProp116.xml><?xml version="1.0" encoding="utf-8"?>
<formControlPr xmlns="http://schemas.microsoft.com/office/spreadsheetml/2009/9/main" objectType="Drop" dropLines="4" dropStyle="combo" dx="22" fmlaLink="$A$114" fmlaRange="$B$253:$B$256" noThreeD="1" sel="1" val="0"/>
</file>

<file path=xl/ctrlProps/ctrlProp117.xml><?xml version="1.0" encoding="utf-8"?>
<formControlPr xmlns="http://schemas.microsoft.com/office/spreadsheetml/2009/9/main" objectType="CheckBox" fmlaLink="$A$117" lockText="1" noThreeD="1"/>
</file>

<file path=xl/ctrlProps/ctrlProp118.xml><?xml version="1.0" encoding="utf-8"?>
<formControlPr xmlns="http://schemas.microsoft.com/office/spreadsheetml/2009/9/main" objectType="CheckBox" checked="Checked" fmlaLink="$A$118" lockText="1" noThreeD="1"/>
</file>

<file path=xl/ctrlProps/ctrlProp119.xml><?xml version="1.0" encoding="utf-8"?>
<formControlPr xmlns="http://schemas.microsoft.com/office/spreadsheetml/2009/9/main" objectType="Drop" dropLines="4" dropStyle="combo" dx="22" fmlaLink="$A$121" fmlaRange="$B$249:$B$252" noThreeD="1" sel="1" val="0"/>
</file>

<file path=xl/ctrlProps/ctrlProp12.xml><?xml version="1.0" encoding="utf-8"?>
<formControlPr xmlns="http://schemas.microsoft.com/office/spreadsheetml/2009/9/main" objectType="Drop" dropLines="4" dropStyle="combo" dx="22" fmlaLink="$A$11" fmlaRange="$B$249:$B$252" noThreeD="1" sel="2" val="0"/>
</file>

<file path=xl/ctrlProps/ctrlProp120.xml><?xml version="1.0" encoding="utf-8"?>
<formControlPr xmlns="http://schemas.microsoft.com/office/spreadsheetml/2009/9/main" objectType="CheckBox" fmlaLink="$A$122" lockText="1" noThreeD="1"/>
</file>

<file path=xl/ctrlProps/ctrlProp121.xml><?xml version="1.0" encoding="utf-8"?>
<formControlPr xmlns="http://schemas.microsoft.com/office/spreadsheetml/2009/9/main" objectType="Drop" dropStyle="combo" dx="22" fmlaLink="$A$125" fmlaRange="$B$257:$B$264" noThreeD="1" sel="1" val="0"/>
</file>

<file path=xl/ctrlProps/ctrlProp122.xml><?xml version="1.0" encoding="utf-8"?>
<formControlPr xmlns="http://schemas.microsoft.com/office/spreadsheetml/2009/9/main" objectType="CheckBox" fmlaLink="$A$123" lockText="1" noThreeD="1"/>
</file>

<file path=xl/ctrlProps/ctrlProp123.xml><?xml version="1.0" encoding="utf-8"?>
<formControlPr xmlns="http://schemas.microsoft.com/office/spreadsheetml/2009/9/main" objectType="Drop" dropLines="4" dropStyle="combo" dx="22" fmlaLink="$A$124" fmlaRange="$B$253:$B$256" noThreeD="1" sel="1" val="0"/>
</file>

<file path=xl/ctrlProps/ctrlProp124.xml><?xml version="1.0" encoding="utf-8"?>
<formControlPr xmlns="http://schemas.microsoft.com/office/spreadsheetml/2009/9/main" objectType="CheckBox" fmlaLink="$A$127" lockText="1" noThreeD="1"/>
</file>

<file path=xl/ctrlProps/ctrlProp125.xml><?xml version="1.0" encoding="utf-8"?>
<formControlPr xmlns="http://schemas.microsoft.com/office/spreadsheetml/2009/9/main" objectType="CheckBox" checked="Checked" fmlaLink="$A$128" lockText="1" noThreeD="1"/>
</file>

<file path=xl/ctrlProps/ctrlProp126.xml><?xml version="1.0" encoding="utf-8"?>
<formControlPr xmlns="http://schemas.microsoft.com/office/spreadsheetml/2009/9/main" objectType="Drop" dropLines="4" dropStyle="combo" dx="22" fmlaLink="$A$131" fmlaRange="$B$249:$B$252" noThreeD="1" sel="1" val="0"/>
</file>

<file path=xl/ctrlProps/ctrlProp127.xml><?xml version="1.0" encoding="utf-8"?>
<formControlPr xmlns="http://schemas.microsoft.com/office/spreadsheetml/2009/9/main" objectType="CheckBox" fmlaLink="$A$132" lockText="1" noThreeD="1"/>
</file>

<file path=xl/ctrlProps/ctrlProp128.xml><?xml version="1.0" encoding="utf-8"?>
<formControlPr xmlns="http://schemas.microsoft.com/office/spreadsheetml/2009/9/main" objectType="Drop" dropStyle="combo" dx="22" fmlaLink="$A$135" fmlaRange="$B$257:$B$264" noThreeD="1" sel="1" val="0"/>
</file>

<file path=xl/ctrlProps/ctrlProp129.xml><?xml version="1.0" encoding="utf-8"?>
<formControlPr xmlns="http://schemas.microsoft.com/office/spreadsheetml/2009/9/main" objectType="CheckBox" fmlaLink="$A$133" lockText="1" noThreeD="1"/>
</file>

<file path=xl/ctrlProps/ctrlProp13.xml><?xml version="1.0" encoding="utf-8"?>
<formControlPr xmlns="http://schemas.microsoft.com/office/spreadsheetml/2009/9/main" objectType="CheckBox" checked="Checked" fmlaLink="$A$12" lockText="1" noThreeD="1"/>
</file>

<file path=xl/ctrlProps/ctrlProp130.xml><?xml version="1.0" encoding="utf-8"?>
<formControlPr xmlns="http://schemas.microsoft.com/office/spreadsheetml/2009/9/main" objectType="Drop" dropLines="4" dropStyle="combo" dx="22" fmlaLink="$A$134" fmlaRange="$B$253:$B$256" noThreeD="1" sel="1" val="0"/>
</file>

<file path=xl/ctrlProps/ctrlProp131.xml><?xml version="1.0" encoding="utf-8"?>
<formControlPr xmlns="http://schemas.microsoft.com/office/spreadsheetml/2009/9/main" objectType="CheckBox" fmlaLink="$A$137" lockText="1" noThreeD="1"/>
</file>

<file path=xl/ctrlProps/ctrlProp132.xml><?xml version="1.0" encoding="utf-8"?>
<formControlPr xmlns="http://schemas.microsoft.com/office/spreadsheetml/2009/9/main" objectType="CheckBox" checked="Checked" fmlaLink="$A$138" lockText="1" noThreeD="1"/>
</file>

<file path=xl/ctrlProps/ctrlProp133.xml><?xml version="1.0" encoding="utf-8"?>
<formControlPr xmlns="http://schemas.microsoft.com/office/spreadsheetml/2009/9/main" objectType="Drop" dropLines="4" dropStyle="combo" dx="22" fmlaLink="$A$141" fmlaRange="$B$249:$B$252" noThreeD="1" sel="1" val="0"/>
</file>

<file path=xl/ctrlProps/ctrlProp134.xml><?xml version="1.0" encoding="utf-8"?>
<formControlPr xmlns="http://schemas.microsoft.com/office/spreadsheetml/2009/9/main" objectType="CheckBox" fmlaLink="$A$142" lockText="1" noThreeD="1"/>
</file>

<file path=xl/ctrlProps/ctrlProp135.xml><?xml version="1.0" encoding="utf-8"?>
<formControlPr xmlns="http://schemas.microsoft.com/office/spreadsheetml/2009/9/main" objectType="Drop" dropStyle="combo" dx="22" fmlaLink="$A$145" fmlaRange="$B$257:$B$264" noThreeD="1" sel="1" val="0"/>
</file>

<file path=xl/ctrlProps/ctrlProp136.xml><?xml version="1.0" encoding="utf-8"?>
<formControlPr xmlns="http://schemas.microsoft.com/office/spreadsheetml/2009/9/main" objectType="CheckBox" fmlaLink="$A$143" lockText="1" noThreeD="1"/>
</file>

<file path=xl/ctrlProps/ctrlProp137.xml><?xml version="1.0" encoding="utf-8"?>
<formControlPr xmlns="http://schemas.microsoft.com/office/spreadsheetml/2009/9/main" objectType="Drop" dropLines="4" dropStyle="combo" dx="22" fmlaLink="$A$144" fmlaRange="$B$253:$B$256" noThreeD="1" sel="1" val="0"/>
</file>

<file path=xl/ctrlProps/ctrlProp138.xml><?xml version="1.0" encoding="utf-8"?>
<formControlPr xmlns="http://schemas.microsoft.com/office/spreadsheetml/2009/9/main" objectType="CheckBox" fmlaLink="$A$147" lockText="1" noThreeD="1"/>
</file>

<file path=xl/ctrlProps/ctrlProp139.xml><?xml version="1.0" encoding="utf-8"?>
<formControlPr xmlns="http://schemas.microsoft.com/office/spreadsheetml/2009/9/main" objectType="CheckBox" checked="Checked" fmlaLink="$A$148" lockText="1" noThreeD="1"/>
</file>

<file path=xl/ctrlProps/ctrlProp14.xml><?xml version="1.0" encoding="utf-8"?>
<formControlPr xmlns="http://schemas.microsoft.com/office/spreadsheetml/2009/9/main" objectType="Drop" dropStyle="combo" dx="22" fmlaLink="$A$15" fmlaRange="$B$257:$B$264" noThreeD="1" sel="2" val="0"/>
</file>

<file path=xl/ctrlProps/ctrlProp140.xml><?xml version="1.0" encoding="utf-8"?>
<formControlPr xmlns="http://schemas.microsoft.com/office/spreadsheetml/2009/9/main" objectType="Drop" dropLines="4" dropStyle="combo" dx="22" fmlaLink="$A$151" fmlaRange="$B$249:$B$252" noThreeD="1" sel="1" val="0"/>
</file>

<file path=xl/ctrlProps/ctrlProp141.xml><?xml version="1.0" encoding="utf-8"?>
<formControlPr xmlns="http://schemas.microsoft.com/office/spreadsheetml/2009/9/main" objectType="CheckBox" fmlaLink="$A$152" lockText="1" noThreeD="1"/>
</file>

<file path=xl/ctrlProps/ctrlProp142.xml><?xml version="1.0" encoding="utf-8"?>
<formControlPr xmlns="http://schemas.microsoft.com/office/spreadsheetml/2009/9/main" objectType="Drop" dropStyle="combo" dx="22" fmlaLink="$A$155" fmlaRange="$B$257:$B$264" noThreeD="1" sel="2" val="0"/>
</file>

<file path=xl/ctrlProps/ctrlProp143.xml><?xml version="1.0" encoding="utf-8"?>
<formControlPr xmlns="http://schemas.microsoft.com/office/spreadsheetml/2009/9/main" objectType="CheckBox" fmlaLink="$A$153" lockText="1" noThreeD="1"/>
</file>

<file path=xl/ctrlProps/ctrlProp144.xml><?xml version="1.0" encoding="utf-8"?>
<formControlPr xmlns="http://schemas.microsoft.com/office/spreadsheetml/2009/9/main" objectType="Drop" dropLines="4" dropStyle="combo" dx="22" fmlaLink="$A$154" fmlaRange="$B$253:$B$256" noThreeD="1" sel="1" val="0"/>
</file>

<file path=xl/ctrlProps/ctrlProp145.xml><?xml version="1.0" encoding="utf-8"?>
<formControlPr xmlns="http://schemas.microsoft.com/office/spreadsheetml/2009/9/main" objectType="CheckBox" fmlaLink="$A$157" lockText="1" noThreeD="1"/>
</file>

<file path=xl/ctrlProps/ctrlProp146.xml><?xml version="1.0" encoding="utf-8"?>
<formControlPr xmlns="http://schemas.microsoft.com/office/spreadsheetml/2009/9/main" objectType="CheckBox" checked="Checked" fmlaLink="$A$158" lockText="1" noThreeD="1"/>
</file>

<file path=xl/ctrlProps/ctrlProp147.xml><?xml version="1.0" encoding="utf-8"?>
<formControlPr xmlns="http://schemas.microsoft.com/office/spreadsheetml/2009/9/main" objectType="Drop" dropLines="4" dropStyle="combo" dx="22" fmlaLink="$A$161" fmlaRange="$B$249:$B$252" noThreeD="1" sel="1" val="0"/>
</file>

<file path=xl/ctrlProps/ctrlProp148.xml><?xml version="1.0" encoding="utf-8"?>
<formControlPr xmlns="http://schemas.microsoft.com/office/spreadsheetml/2009/9/main" objectType="CheckBox" fmlaLink="$A$162" lockText="1" noThreeD="1"/>
</file>

<file path=xl/ctrlProps/ctrlProp149.xml><?xml version="1.0" encoding="utf-8"?>
<formControlPr xmlns="http://schemas.microsoft.com/office/spreadsheetml/2009/9/main" objectType="Drop" dropStyle="combo" dx="22" fmlaLink="$A$165" fmlaRange="$B$257:$B$264" noThreeD="1" sel="2" val="0"/>
</file>

<file path=xl/ctrlProps/ctrlProp15.xml><?xml version="1.0" encoding="utf-8"?>
<formControlPr xmlns="http://schemas.microsoft.com/office/spreadsheetml/2009/9/main" objectType="CheckBox" fmlaLink="#REF!" lockText="1" noThreeD="1"/>
</file>

<file path=xl/ctrlProps/ctrlProp150.xml><?xml version="1.0" encoding="utf-8"?>
<formControlPr xmlns="http://schemas.microsoft.com/office/spreadsheetml/2009/9/main" objectType="CheckBox" fmlaLink="$A$163" lockText="1" noThreeD="1"/>
</file>

<file path=xl/ctrlProps/ctrlProp151.xml><?xml version="1.0" encoding="utf-8"?>
<formControlPr xmlns="http://schemas.microsoft.com/office/spreadsheetml/2009/9/main" objectType="Drop" dropLines="4" dropStyle="combo" dx="22" fmlaLink="$A$164" fmlaRange="$B$253:$B$256" noThreeD="1" sel="1" val="0"/>
</file>

<file path=xl/ctrlProps/ctrlProp152.xml><?xml version="1.0" encoding="utf-8"?>
<formControlPr xmlns="http://schemas.microsoft.com/office/spreadsheetml/2009/9/main" objectType="CheckBox" fmlaLink="$A$172" lockText="1" noThreeD="1"/>
</file>

<file path=xl/ctrlProps/ctrlProp153.xml><?xml version="1.0" encoding="utf-8"?>
<formControlPr xmlns="http://schemas.microsoft.com/office/spreadsheetml/2009/9/main" objectType="CheckBox" fmlaLink="$A$173" lockText="1" noThreeD="1"/>
</file>

<file path=xl/ctrlProps/ctrlProp154.xml><?xml version="1.0" encoding="utf-8"?>
<formControlPr xmlns="http://schemas.microsoft.com/office/spreadsheetml/2009/9/main" objectType="CheckBox" fmlaLink="$A$176" lockText="1" noThreeD="1"/>
</file>

<file path=xl/ctrlProps/ctrlProp155.xml><?xml version="1.0" encoding="utf-8"?>
<formControlPr xmlns="http://schemas.microsoft.com/office/spreadsheetml/2009/9/main" objectType="CheckBox" fmlaLink="$A$183" lockText="1" noThreeD="1"/>
</file>

<file path=xl/ctrlProps/ctrlProp156.xml><?xml version="1.0" encoding="utf-8"?>
<formControlPr xmlns="http://schemas.microsoft.com/office/spreadsheetml/2009/9/main" objectType="CheckBox" fmlaLink="$A$182" lockText="1" noThreeD="1"/>
</file>

<file path=xl/ctrlProps/ctrlProp157.xml><?xml version="1.0" encoding="utf-8"?>
<formControlPr xmlns="http://schemas.microsoft.com/office/spreadsheetml/2009/9/main" objectType="CheckBox" fmlaLink="$A$185" lockText="1" noThreeD="1"/>
</file>

<file path=xl/ctrlProps/ctrlProp158.xml><?xml version="1.0" encoding="utf-8"?>
<formControlPr xmlns="http://schemas.microsoft.com/office/spreadsheetml/2009/9/main" objectType="CheckBox" fmlaLink="$A$186" lockText="1" noThreeD="1"/>
</file>

<file path=xl/ctrlProps/ctrlProp159.xml><?xml version="1.0" encoding="utf-8"?>
<formControlPr xmlns="http://schemas.microsoft.com/office/spreadsheetml/2009/9/main" objectType="CheckBox" fmlaLink="$A$175" lockText="1" noThreeD="1"/>
</file>

<file path=xl/ctrlProps/ctrlProp16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160.xml><?xml version="1.0" encoding="utf-8"?>
<formControlPr xmlns="http://schemas.microsoft.com/office/spreadsheetml/2009/9/main" objectType="Drop" dropLines="5" dropStyle="combo" dx="22" fmlaLink="$A$194" fmlaRange="$B$274:$B$278" noThreeD="1" sel="1" val="0"/>
</file>

<file path=xl/ctrlProps/ctrlProp161.xml><?xml version="1.0" encoding="utf-8"?>
<formControlPr xmlns="http://schemas.microsoft.com/office/spreadsheetml/2009/9/main" objectType="Drop" dropLines="5" dropStyle="combo" dx="22" fmlaLink="$A$191" fmlaRange="$B$274:$B$278" noThreeD="1" sel="1" val="0"/>
</file>

<file path=xl/ctrlProps/ctrlProp162.xml><?xml version="1.0" encoding="utf-8"?>
<formControlPr xmlns="http://schemas.microsoft.com/office/spreadsheetml/2009/9/main" objectType="Drop" dropLines="9" dropStyle="combo" dx="22" fmlaLink="$A$190" fmlaRange="$B$265:$B$273" noThreeD="1" sel="9" val="0"/>
</file>

<file path=xl/ctrlProps/ctrlProp163.xml><?xml version="1.0" encoding="utf-8"?>
<formControlPr xmlns="http://schemas.microsoft.com/office/spreadsheetml/2009/9/main" objectType="CheckBox" fmlaLink="$A$193" lockText="1" noThreeD="1"/>
</file>

<file path=xl/ctrlProps/ctrlProp164.xml><?xml version="1.0" encoding="utf-8"?>
<formControlPr xmlns="http://schemas.microsoft.com/office/spreadsheetml/2009/9/main" objectType="CheckBox" fmlaLink="$A$192" lockText="1" noThreeD="1"/>
</file>

<file path=xl/ctrlProps/ctrlProp165.xml><?xml version="1.0" encoding="utf-8"?>
<formControlPr xmlns="http://schemas.microsoft.com/office/spreadsheetml/2009/9/main" objectType="CheckBox" fmlaLink="$A$195" lockText="1" noThreeD="1"/>
</file>

<file path=xl/ctrlProps/ctrlProp166.xml><?xml version="1.0" encoding="utf-8"?>
<formControlPr xmlns="http://schemas.microsoft.com/office/spreadsheetml/2009/9/main" objectType="CheckBox" fmlaLink="$A$196" lockText="1" noThreeD="1"/>
</file>

<file path=xl/ctrlProps/ctrlProp167.xml><?xml version="1.0" encoding="utf-8"?>
<formControlPr xmlns="http://schemas.microsoft.com/office/spreadsheetml/2009/9/main" objectType="CheckBox" checked="Checked" fmlaLink="$A$168" lockText="1" noThreeD="1"/>
</file>

<file path=xl/ctrlProps/ctrlProp168.xml><?xml version="1.0" encoding="utf-8"?>
<formControlPr xmlns="http://schemas.microsoft.com/office/spreadsheetml/2009/9/main" objectType="Drop" dropLines="5" dropStyle="combo" dx="22" fmlaLink="$A$204" fmlaRange="$B$274:$B$278" noThreeD="1" sel="1" val="0"/>
</file>

<file path=xl/ctrlProps/ctrlProp169.xml><?xml version="1.0" encoding="utf-8"?>
<formControlPr xmlns="http://schemas.microsoft.com/office/spreadsheetml/2009/9/main" objectType="Drop" dropLines="5" dropStyle="combo" dx="22" fmlaLink="$A$201" fmlaRange="$B$274:$B$278" noThreeD="1" sel="1" val="0"/>
</file>

<file path=xl/ctrlProps/ctrlProp17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170.xml><?xml version="1.0" encoding="utf-8"?>
<formControlPr xmlns="http://schemas.microsoft.com/office/spreadsheetml/2009/9/main" objectType="Drop" dropLines="9" dropStyle="combo" dx="22" fmlaLink="$A$200" fmlaRange="$B$265:$B$273" noThreeD="1" sel="1" val="0"/>
</file>

<file path=xl/ctrlProps/ctrlProp171.xml><?xml version="1.0" encoding="utf-8"?>
<formControlPr xmlns="http://schemas.microsoft.com/office/spreadsheetml/2009/9/main" objectType="CheckBox" fmlaLink="$A$203" lockText="1" noThreeD="1"/>
</file>

<file path=xl/ctrlProps/ctrlProp172.xml><?xml version="1.0" encoding="utf-8"?>
<formControlPr xmlns="http://schemas.microsoft.com/office/spreadsheetml/2009/9/main" objectType="CheckBox" fmlaLink="$A$202" lockText="1" noThreeD="1"/>
</file>

<file path=xl/ctrlProps/ctrlProp173.xml><?xml version="1.0" encoding="utf-8"?>
<formControlPr xmlns="http://schemas.microsoft.com/office/spreadsheetml/2009/9/main" objectType="CheckBox" fmlaLink="$A$205" lockText="1" noThreeD="1"/>
</file>

<file path=xl/ctrlProps/ctrlProp174.xml><?xml version="1.0" encoding="utf-8"?>
<formControlPr xmlns="http://schemas.microsoft.com/office/spreadsheetml/2009/9/main" objectType="CheckBox" fmlaLink="$A$206" lockText="1" noThreeD="1"/>
</file>

<file path=xl/ctrlProps/ctrlProp175.xml><?xml version="1.0" encoding="utf-8"?>
<formControlPr xmlns="http://schemas.microsoft.com/office/spreadsheetml/2009/9/main" objectType="Drop" dropLines="5" dropStyle="combo" dx="22" fmlaLink="$A$194" fmlaRange="$B$274:$B$278" noThreeD="1" sel="1" val="0"/>
</file>

<file path=xl/ctrlProps/ctrlProp176.xml><?xml version="1.0" encoding="utf-8"?>
<formControlPr xmlns="http://schemas.microsoft.com/office/spreadsheetml/2009/9/main" objectType="Drop" dropLines="5" dropStyle="combo" dx="22" fmlaLink="$A$191" fmlaRange="$B$274:$B$278" noThreeD="1" sel="1" val="0"/>
</file>

<file path=xl/ctrlProps/ctrlProp177.xml><?xml version="1.0" encoding="utf-8"?>
<formControlPr xmlns="http://schemas.microsoft.com/office/spreadsheetml/2009/9/main" objectType="Drop" dropLines="9" dropStyle="combo" dx="22" fmlaLink="$A$210" fmlaRange="$B$265:$B$273" noThreeD="1" sel="1" val="0"/>
</file>

<file path=xl/ctrlProps/ctrlProp178.xml><?xml version="1.0" encoding="utf-8"?>
<formControlPr xmlns="http://schemas.microsoft.com/office/spreadsheetml/2009/9/main" objectType="CheckBox" fmlaLink="$A$193" lockText="1" noThreeD="1"/>
</file>

<file path=xl/ctrlProps/ctrlProp179.xml><?xml version="1.0" encoding="utf-8"?>
<formControlPr xmlns="http://schemas.microsoft.com/office/spreadsheetml/2009/9/main" objectType="CheckBox" fmlaLink="$A$192" lockText="1" noThreeD="1"/>
</file>

<file path=xl/ctrlProps/ctrlProp18.xml><?xml version="1.0" encoding="utf-8"?>
<formControlPr xmlns="http://schemas.microsoft.com/office/spreadsheetml/2009/9/main" objectType="CheckBox" fmlaLink="#REF!" lockText="1" noThreeD="1"/>
</file>

<file path=xl/ctrlProps/ctrlProp180.xml><?xml version="1.0" encoding="utf-8"?>
<formControlPr xmlns="http://schemas.microsoft.com/office/spreadsheetml/2009/9/main" objectType="CheckBox" fmlaLink="$A$195" lockText="1" noThreeD="1"/>
</file>

<file path=xl/ctrlProps/ctrlProp181.xml><?xml version="1.0" encoding="utf-8"?>
<formControlPr xmlns="http://schemas.microsoft.com/office/spreadsheetml/2009/9/main" objectType="CheckBox" fmlaLink="$A$196" lockText="1" noThreeD="1"/>
</file>

<file path=xl/ctrlProps/ctrlProp182.xml><?xml version="1.0" encoding="utf-8"?>
<formControlPr xmlns="http://schemas.microsoft.com/office/spreadsheetml/2009/9/main" objectType="Drop" dropLines="5" dropStyle="combo" dx="22" fmlaLink="$A$224" fmlaRange="$B$274:$B$278" noThreeD="1" sel="1" val="0"/>
</file>

<file path=xl/ctrlProps/ctrlProp183.xml><?xml version="1.0" encoding="utf-8"?>
<formControlPr xmlns="http://schemas.microsoft.com/office/spreadsheetml/2009/9/main" objectType="Drop" dropLines="5" dropStyle="combo" dx="22" fmlaLink="$A$221" fmlaRange="$B$274:$B$278" noThreeD="1" sel="1" val="0"/>
</file>

<file path=xl/ctrlProps/ctrlProp184.xml><?xml version="1.0" encoding="utf-8"?>
<formControlPr xmlns="http://schemas.microsoft.com/office/spreadsheetml/2009/9/main" objectType="Drop" dropLines="9" dropStyle="combo" dx="22" fmlaLink="$A$220" fmlaRange="$B$265:$B$273" noThreeD="1" sel="1" val="0"/>
</file>

<file path=xl/ctrlProps/ctrlProp185.xml><?xml version="1.0" encoding="utf-8"?>
<formControlPr xmlns="http://schemas.microsoft.com/office/spreadsheetml/2009/9/main" objectType="CheckBox" fmlaLink="$A$223" lockText="1" noThreeD="1"/>
</file>

<file path=xl/ctrlProps/ctrlProp186.xml><?xml version="1.0" encoding="utf-8"?>
<formControlPr xmlns="http://schemas.microsoft.com/office/spreadsheetml/2009/9/main" objectType="CheckBox" fmlaLink="$A$222" lockText="1" noThreeD="1"/>
</file>

<file path=xl/ctrlProps/ctrlProp187.xml><?xml version="1.0" encoding="utf-8"?>
<formControlPr xmlns="http://schemas.microsoft.com/office/spreadsheetml/2009/9/main" objectType="CheckBox" fmlaLink="$A$225" lockText="1" noThreeD="1"/>
</file>

<file path=xl/ctrlProps/ctrlProp188.xml><?xml version="1.0" encoding="utf-8"?>
<formControlPr xmlns="http://schemas.microsoft.com/office/spreadsheetml/2009/9/main" objectType="CheckBox" fmlaLink="$A$226" lockText="1" noThreeD="1"/>
</file>

<file path=xl/ctrlProps/ctrlProp189.xml><?xml version="1.0" encoding="utf-8"?>
<formControlPr xmlns="http://schemas.microsoft.com/office/spreadsheetml/2009/9/main" objectType="Drop" dropLines="5" dropStyle="combo" dx="22" fmlaLink="$A$234" fmlaRange="$B$274:$B$278" noThreeD="1" sel="1" val="0"/>
</file>

<file path=xl/ctrlProps/ctrlProp19.xml><?xml version="1.0" encoding="utf-8"?>
<formControlPr xmlns="http://schemas.microsoft.com/office/spreadsheetml/2009/9/main" objectType="CheckBox" fmlaLink="#REF!" lockText="1" noThreeD="1"/>
</file>

<file path=xl/ctrlProps/ctrlProp190.xml><?xml version="1.0" encoding="utf-8"?>
<formControlPr xmlns="http://schemas.microsoft.com/office/spreadsheetml/2009/9/main" objectType="Drop" dropLines="5" dropStyle="combo" dx="22" fmlaLink="$A$231" fmlaRange="$B$274:$B$278" noThreeD="1" sel="1" val="0"/>
</file>

<file path=xl/ctrlProps/ctrlProp191.xml><?xml version="1.0" encoding="utf-8"?>
<formControlPr xmlns="http://schemas.microsoft.com/office/spreadsheetml/2009/9/main" objectType="Drop" dropLines="9" dropStyle="combo" dx="22" fmlaLink="$A$230" fmlaRange="$B$265:$B$273" noThreeD="1" sel="1" val="0"/>
</file>

<file path=xl/ctrlProps/ctrlProp192.xml><?xml version="1.0" encoding="utf-8"?>
<formControlPr xmlns="http://schemas.microsoft.com/office/spreadsheetml/2009/9/main" objectType="CheckBox" fmlaLink="$A$233" lockText="1" noThreeD="1"/>
</file>

<file path=xl/ctrlProps/ctrlProp193.xml><?xml version="1.0" encoding="utf-8"?>
<formControlPr xmlns="http://schemas.microsoft.com/office/spreadsheetml/2009/9/main" objectType="CheckBox" fmlaLink="$A$232" lockText="1" noThreeD="1"/>
</file>

<file path=xl/ctrlProps/ctrlProp194.xml><?xml version="1.0" encoding="utf-8"?>
<formControlPr xmlns="http://schemas.microsoft.com/office/spreadsheetml/2009/9/main" objectType="CheckBox" fmlaLink="$A$235" lockText="1" noThreeD="1"/>
</file>

<file path=xl/ctrlProps/ctrlProp195.xml><?xml version="1.0" encoding="utf-8"?>
<formControlPr xmlns="http://schemas.microsoft.com/office/spreadsheetml/2009/9/main" objectType="CheckBox" fmlaLink="$A$236" lockText="1" noThreeD="1"/>
</file>

<file path=xl/ctrlProps/ctrlProp196.xml><?xml version="1.0" encoding="utf-8"?>
<formControlPr xmlns="http://schemas.microsoft.com/office/spreadsheetml/2009/9/main" objectType="Drop" dropLines="5" dropStyle="combo" dx="22" fmlaLink="$A$244" fmlaRange="$B$274:$B$278" noThreeD="1" sel="1" val="0"/>
</file>

<file path=xl/ctrlProps/ctrlProp197.xml><?xml version="1.0" encoding="utf-8"?>
<formControlPr xmlns="http://schemas.microsoft.com/office/spreadsheetml/2009/9/main" objectType="Drop" dropLines="5" dropStyle="combo" dx="22" fmlaLink="$A$241" fmlaRange="$B$274:$B$278" noThreeD="1" sel="1" val="0"/>
</file>

<file path=xl/ctrlProps/ctrlProp198.xml><?xml version="1.0" encoding="utf-8"?>
<formControlPr xmlns="http://schemas.microsoft.com/office/spreadsheetml/2009/9/main" objectType="Drop" dropLines="9" dropStyle="combo" dx="22" fmlaLink="$A$240" fmlaRange="$B$265:$B$273" noThreeD="1" sel="1" val="0"/>
</file>

<file path=xl/ctrlProps/ctrlProp199.xml><?xml version="1.0" encoding="utf-8"?>
<formControlPr xmlns="http://schemas.microsoft.com/office/spreadsheetml/2009/9/main" objectType="CheckBox" fmlaLink="$A$243" lockText="1" noThreeD="1"/>
</file>

<file path=xl/ctrlProps/ctrlProp2.xml><?xml version="1.0" encoding="utf-8"?>
<formControlPr xmlns="http://schemas.microsoft.com/office/spreadsheetml/2009/9/main" objectType="Drop" dropLines="5" dropStyle="combo" dx="22" fmlaLink="$A$181" fmlaRange="$B$274:$B$278" noThreeD="1" sel="1" val="0"/>
</file>

<file path=xl/ctrlProps/ctrlProp20.xml><?xml version="1.0" encoding="utf-8"?>
<formControlPr xmlns="http://schemas.microsoft.com/office/spreadsheetml/2009/9/main" objectType="CheckBox" fmlaLink="#REF!" lockText="1" noThreeD="1"/>
</file>

<file path=xl/ctrlProps/ctrlProp200.xml><?xml version="1.0" encoding="utf-8"?>
<formControlPr xmlns="http://schemas.microsoft.com/office/spreadsheetml/2009/9/main" objectType="CheckBox" fmlaLink="$A$242" lockText="1" noThreeD="1"/>
</file>

<file path=xl/ctrlProps/ctrlProp201.xml><?xml version="1.0" encoding="utf-8"?>
<formControlPr xmlns="http://schemas.microsoft.com/office/spreadsheetml/2009/9/main" objectType="CheckBox" fmlaLink="$A$245" lockText="1" noThreeD="1"/>
</file>

<file path=xl/ctrlProps/ctrlProp202.xml><?xml version="1.0" encoding="utf-8"?>
<formControlPr xmlns="http://schemas.microsoft.com/office/spreadsheetml/2009/9/main" objectType="CheckBox" fmlaLink="$A$246" lockText="1" noThreeD="1"/>
</file>

<file path=xl/ctrlProps/ctrlProp203.xml><?xml version="1.0" encoding="utf-8"?>
<formControlPr xmlns="http://schemas.microsoft.com/office/spreadsheetml/2009/9/main" objectType="CheckBox" checked="Checked" fmlaLink="$A$178" lockText="1" noThreeD="1"/>
</file>

<file path=xl/ctrlProps/ctrlProp204.xml><?xml version="1.0" encoding="utf-8"?>
<formControlPr xmlns="http://schemas.microsoft.com/office/spreadsheetml/2009/9/main" objectType="CheckBox" checked="Checked" fmlaLink="$A$188" lockText="1" noThreeD="1"/>
</file>

<file path=xl/ctrlProps/ctrlProp205.xml><?xml version="1.0" encoding="utf-8"?>
<formControlPr xmlns="http://schemas.microsoft.com/office/spreadsheetml/2009/9/main" objectType="CheckBox" fmlaLink="$A$198" lockText="1" noThreeD="1"/>
</file>

<file path=xl/ctrlProps/ctrlProp206.xml><?xml version="1.0" encoding="utf-8"?>
<formControlPr xmlns="http://schemas.microsoft.com/office/spreadsheetml/2009/9/main" objectType="CheckBox" fmlaLink="$A$208" lockText="1" noThreeD="1"/>
</file>

<file path=xl/ctrlProps/ctrlProp207.xml><?xml version="1.0" encoding="utf-8"?>
<formControlPr xmlns="http://schemas.microsoft.com/office/spreadsheetml/2009/9/main" objectType="CheckBox" fmlaLink="$A$218" lockText="1" noThreeD="1"/>
</file>

<file path=xl/ctrlProps/ctrlProp208.xml><?xml version="1.0" encoding="utf-8"?>
<formControlPr xmlns="http://schemas.microsoft.com/office/spreadsheetml/2009/9/main" objectType="CheckBox" fmlaLink="$A$228" lockText="1" noThreeD="1"/>
</file>

<file path=xl/ctrlProps/ctrlProp209.xml><?xml version="1.0" encoding="utf-8"?>
<formControlPr xmlns="http://schemas.microsoft.com/office/spreadsheetml/2009/9/main" objectType="CheckBox" fmlaLink="$A$238" lockText="1" noThreeD="1"/>
</file>

<file path=xl/ctrlProps/ctrlProp21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10.xml><?xml version="1.0" encoding="utf-8"?>
<formControlPr xmlns="http://schemas.microsoft.com/office/spreadsheetml/2009/9/main" objectType="Drop" dropLines="5" dropStyle="combo" dx="22" fmlaLink="$A$184" fmlaRange="$B$274:$B$278" noThreeD="1" sel="1" val="0"/>
</file>

<file path=xl/ctrlProps/ctrlProp211.xml><?xml version="1.0" encoding="utf-8"?>
<formControlPr xmlns="http://schemas.microsoft.com/office/spreadsheetml/2009/9/main" objectType="Drop" dropLines="5" dropStyle="combo" dx="22" fmlaLink="$A$181" fmlaRange="$B$274:$B$278" noThreeD="1" sel="1" val="0"/>
</file>

<file path=xl/ctrlProps/ctrlProp212.xml><?xml version="1.0" encoding="utf-8"?>
<formControlPr xmlns="http://schemas.microsoft.com/office/spreadsheetml/2009/9/main" objectType="Drop" dropLines="9" dropStyle="combo" dx="22" fmlaLink="$A$180" fmlaRange="$B$265:$B$273" noThreeD="1" sel="7" val="0"/>
</file>

<file path=xl/ctrlProps/ctrlProp213.xml><?xml version="1.0" encoding="utf-8"?>
<formControlPr xmlns="http://schemas.microsoft.com/office/spreadsheetml/2009/9/main" objectType="Drop" dropLines="5" dropStyle="combo" dx="22" fmlaLink="$A$174" fmlaRange="$B$274:$B$278" noThreeD="1" sel="4" val="0"/>
</file>

<file path=xl/ctrlProps/ctrlProp214.xml><?xml version="1.0" encoding="utf-8"?>
<formControlPr xmlns="http://schemas.microsoft.com/office/spreadsheetml/2009/9/main" objectType="Drop" dropLines="5" dropStyle="combo" dx="22" fmlaLink="$A$171" fmlaRange="$B$274:$B$278" noThreeD="1" sel="4" val="0"/>
</file>

<file path=xl/ctrlProps/ctrlProp215.xml><?xml version="1.0" encoding="utf-8"?>
<formControlPr xmlns="http://schemas.microsoft.com/office/spreadsheetml/2009/9/main" objectType="Drop" dropLines="9" dropStyle="combo" dx="22" fmlaLink="$A$170" fmlaRange="$B$265:$B$273" noThreeD="1" sel="6" val="0"/>
</file>

<file path=xl/ctrlProps/ctrlProp216.xml><?xml version="1.0" encoding="utf-8"?>
<formControlPr xmlns="http://schemas.microsoft.com/office/spreadsheetml/2009/9/main" objectType="CheckBox" fmlaLink="$A$27" lockText="1" noThreeD="1"/>
</file>

<file path=xl/ctrlProps/ctrlProp217.xml><?xml version="1.0" encoding="utf-8"?>
<formControlPr xmlns="http://schemas.microsoft.com/office/spreadsheetml/2009/9/main" objectType="CheckBox" checked="Checked" fmlaLink="$A$28" lockText="1" noThreeD="1"/>
</file>

<file path=xl/ctrlProps/ctrlProp218.xml><?xml version="1.0" encoding="utf-8"?>
<formControlPr xmlns="http://schemas.microsoft.com/office/spreadsheetml/2009/9/main" objectType="Drop" dropLines="4" dropStyle="combo" dx="22" fmlaLink="$A$31" fmlaRange="$B$249:$B$252" noThreeD="1" sel="1" val="0"/>
</file>

<file path=xl/ctrlProps/ctrlProp219.xml><?xml version="1.0" encoding="utf-8"?>
<formControlPr xmlns="http://schemas.microsoft.com/office/spreadsheetml/2009/9/main" objectType="CheckBox" fmlaLink="$A$32" lockText="1" noThreeD="1"/>
</file>

<file path=xl/ctrlProps/ctrlProp22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20.xml><?xml version="1.0" encoding="utf-8"?>
<formControlPr xmlns="http://schemas.microsoft.com/office/spreadsheetml/2009/9/main" objectType="Drop" dropStyle="combo" dx="22" fmlaLink="$A$35" fmlaRange="$B$257:$B$264" noThreeD="1" sel="1" val="0"/>
</file>

<file path=xl/ctrlProps/ctrlProp221.xml><?xml version="1.0" encoding="utf-8"?>
<formControlPr xmlns="http://schemas.microsoft.com/office/spreadsheetml/2009/9/main" objectType="CheckBox" fmlaLink="$A$33" lockText="1" noThreeD="1"/>
</file>

<file path=xl/ctrlProps/ctrlProp222.xml><?xml version="1.0" encoding="utf-8"?>
<formControlPr xmlns="http://schemas.microsoft.com/office/spreadsheetml/2009/9/main" objectType="Drop" dropLines="4" dropStyle="combo" dx="22" fmlaLink="$A$34" fmlaRange="$B$253:$B$256" noThreeD="1" sel="2" val="0"/>
</file>

<file path=xl/ctrlProps/ctrlProp223.xml><?xml version="1.0" encoding="utf-8"?>
<formControlPr xmlns="http://schemas.microsoft.com/office/spreadsheetml/2009/9/main" objectType="CheckBox" checked="Checked" fmlaLink="$A$3" lockText="1" noThreeD="1"/>
</file>

<file path=xl/ctrlProps/ctrlProp224.xml><?xml version="1.0" encoding="utf-8"?>
<formControlPr xmlns="http://schemas.microsoft.com/office/spreadsheetml/2009/9/main" objectType="CheckBox" checked="Checked" fmlaLink="$A$4" lockText="1" noThreeD="1"/>
</file>

<file path=xl/ctrlProps/ctrlProp225.xml><?xml version="1.0" encoding="utf-8"?>
<formControlPr xmlns="http://schemas.microsoft.com/office/spreadsheetml/2009/9/main" objectType="CheckBox" fmlaLink="$A$5" lockText="1" noThreeD="1"/>
</file>

<file path=xl/ctrlProps/ctrlProp226.xml><?xml version="1.0" encoding="utf-8"?>
<formControlPr xmlns="http://schemas.microsoft.com/office/spreadsheetml/2009/9/main" objectType="CheckBox" fmlaLink="$A$7" lockText="1" noThreeD="1"/>
</file>

<file path=xl/ctrlProps/ctrlProp227.xml><?xml version="1.0" encoding="utf-8"?>
<formControlPr xmlns="http://schemas.microsoft.com/office/spreadsheetml/2009/9/main" objectType="CheckBox" checked="Checked" fmlaLink="$A$8" lockText="1" noThreeD="1"/>
</file>

<file path=xl/ctrlProps/ctrlProp228.xml><?xml version="1.0" encoding="utf-8"?>
<formControlPr xmlns="http://schemas.microsoft.com/office/spreadsheetml/2009/9/main" objectType="Drop" dropLines="4" dropStyle="combo" dx="22" fmlaLink="$A$11" fmlaRange="$B$249:$B$252" noThreeD="1" sel="1" val="0"/>
</file>

<file path=xl/ctrlProps/ctrlProp229.xml><?xml version="1.0" encoding="utf-8"?>
<formControlPr xmlns="http://schemas.microsoft.com/office/spreadsheetml/2009/9/main" objectType="CheckBox" fmlaLink="$A$12" lockText="1" noThreeD="1"/>
</file>

<file path=xl/ctrlProps/ctrlProp23.xml><?xml version="1.0" encoding="utf-8"?>
<formControlPr xmlns="http://schemas.microsoft.com/office/spreadsheetml/2009/9/main" objectType="CheckBox" fmlaLink="#REF!" lockText="1" noThreeD="1"/>
</file>

<file path=xl/ctrlProps/ctrlProp230.xml><?xml version="1.0" encoding="utf-8"?>
<formControlPr xmlns="http://schemas.microsoft.com/office/spreadsheetml/2009/9/main" objectType="Drop" dropStyle="combo" dx="22" fmlaLink="$A$15" fmlaRange="$B$257:$B$264" noThreeD="1" sel="1" val="0"/>
</file>

<file path=xl/ctrlProps/ctrlProp231.xml><?xml version="1.0" encoding="utf-8"?>
<formControlPr xmlns="http://schemas.microsoft.com/office/spreadsheetml/2009/9/main" objectType="CheckBox" fmlaLink="#REF!" lockText="1" noThreeD="1"/>
</file>

<file path=xl/ctrlProps/ctrlProp232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33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34.xml><?xml version="1.0" encoding="utf-8"?>
<formControlPr xmlns="http://schemas.microsoft.com/office/spreadsheetml/2009/9/main" objectType="CheckBox" fmlaLink="#REF!" lockText="1" noThreeD="1"/>
</file>

<file path=xl/ctrlProps/ctrlProp235.xml><?xml version="1.0" encoding="utf-8"?>
<formControlPr xmlns="http://schemas.microsoft.com/office/spreadsheetml/2009/9/main" objectType="CheckBox" fmlaLink="#REF!" lockText="1" noThreeD="1"/>
</file>

<file path=xl/ctrlProps/ctrlProp236.xml><?xml version="1.0" encoding="utf-8"?>
<formControlPr xmlns="http://schemas.microsoft.com/office/spreadsheetml/2009/9/main" objectType="CheckBox" fmlaLink="#REF!" lockText="1" noThreeD="1"/>
</file>

<file path=xl/ctrlProps/ctrlProp237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38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39.xml><?xml version="1.0" encoding="utf-8"?>
<formControlPr xmlns="http://schemas.microsoft.com/office/spreadsheetml/2009/9/main" objectType="CheckBox" fmlaLink="#REF!" lockText="1" noThreeD="1"/>
</file>

<file path=xl/ctrlProps/ctrlProp24.xml><?xml version="1.0" encoding="utf-8"?>
<formControlPr xmlns="http://schemas.microsoft.com/office/spreadsheetml/2009/9/main" objectType="CheckBox" fmlaLink="#REF!" lockText="1" noThreeD="1"/>
</file>

<file path=xl/ctrlProps/ctrlProp240.xml><?xml version="1.0" encoding="utf-8"?>
<formControlPr xmlns="http://schemas.microsoft.com/office/spreadsheetml/2009/9/main" objectType="CheckBox" fmlaLink="#REF!" lockText="1" noThreeD="1"/>
</file>

<file path=xl/ctrlProps/ctrlProp241.xml><?xml version="1.0" encoding="utf-8"?>
<formControlPr xmlns="http://schemas.microsoft.com/office/spreadsheetml/2009/9/main" objectType="CheckBox" fmlaLink="#REF!" lockText="1" noThreeD="1"/>
</file>

<file path=xl/ctrlProps/ctrlProp242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43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44.xml><?xml version="1.0" encoding="utf-8"?>
<formControlPr xmlns="http://schemas.microsoft.com/office/spreadsheetml/2009/9/main" objectType="CheckBox" fmlaLink="#REF!" lockText="1" noThreeD="1"/>
</file>

<file path=xl/ctrlProps/ctrlProp245.xml><?xml version="1.0" encoding="utf-8"?>
<formControlPr xmlns="http://schemas.microsoft.com/office/spreadsheetml/2009/9/main" objectType="CheckBox" fmlaLink="#REF!" lockText="1" noThreeD="1"/>
</file>

<file path=xl/ctrlProps/ctrlProp246.xml><?xml version="1.0" encoding="utf-8"?>
<formControlPr xmlns="http://schemas.microsoft.com/office/spreadsheetml/2009/9/main" objectType="CheckBox" fmlaLink="#REF!" lockText="1" noThreeD="1"/>
</file>

<file path=xl/ctrlProps/ctrlProp247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48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49.xml><?xml version="1.0" encoding="utf-8"?>
<formControlPr xmlns="http://schemas.microsoft.com/office/spreadsheetml/2009/9/main" objectType="CheckBox" fmlaLink="#REF!" lockText="1" noThreeD="1"/>
</file>

<file path=xl/ctrlProps/ctrlProp25.xml><?xml version="1.0" encoding="utf-8"?>
<formControlPr xmlns="http://schemas.microsoft.com/office/spreadsheetml/2009/9/main" objectType="CheckBox" fmlaLink="#REF!" lockText="1" noThreeD="1"/>
</file>

<file path=xl/ctrlProps/ctrlProp250.xml><?xml version="1.0" encoding="utf-8"?>
<formControlPr xmlns="http://schemas.microsoft.com/office/spreadsheetml/2009/9/main" objectType="CheckBox" fmlaLink="#REF!" lockText="1" noThreeD="1"/>
</file>

<file path=xl/ctrlProps/ctrlProp251.xml><?xml version="1.0" encoding="utf-8"?>
<formControlPr xmlns="http://schemas.microsoft.com/office/spreadsheetml/2009/9/main" objectType="CheckBox" fmlaLink="#REF!" lockText="1" noThreeD="1"/>
</file>

<file path=xl/ctrlProps/ctrlProp252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53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54.xml><?xml version="1.0" encoding="utf-8"?>
<formControlPr xmlns="http://schemas.microsoft.com/office/spreadsheetml/2009/9/main" objectType="CheckBox" fmlaLink="#REF!" lockText="1" noThreeD="1"/>
</file>

<file path=xl/ctrlProps/ctrlProp255.xml><?xml version="1.0" encoding="utf-8"?>
<formControlPr xmlns="http://schemas.microsoft.com/office/spreadsheetml/2009/9/main" objectType="CheckBox" fmlaLink="#REF!" lockText="1" noThreeD="1"/>
</file>

<file path=xl/ctrlProps/ctrlProp256.xml><?xml version="1.0" encoding="utf-8"?>
<formControlPr xmlns="http://schemas.microsoft.com/office/spreadsheetml/2009/9/main" objectType="CheckBox" fmlaLink="#REF!" lockText="1" noThreeD="1"/>
</file>

<file path=xl/ctrlProps/ctrlProp257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58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59.xml><?xml version="1.0" encoding="utf-8"?>
<formControlPr xmlns="http://schemas.microsoft.com/office/spreadsheetml/2009/9/main" objectType="CheckBox" fmlaLink="#REF!" lockText="1" noThreeD="1"/>
</file>

<file path=xl/ctrlProps/ctrlProp26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260.xml><?xml version="1.0" encoding="utf-8"?>
<formControlPr xmlns="http://schemas.microsoft.com/office/spreadsheetml/2009/9/main" objectType="CheckBox" fmlaLink="#REF!" lockText="1" noThreeD="1"/>
</file>

<file path=xl/ctrlProps/ctrlProp261.xml><?xml version="1.0" encoding="utf-8"?>
<formControlPr xmlns="http://schemas.microsoft.com/office/spreadsheetml/2009/9/main" objectType="CheckBox" fmlaLink="$A$13" lockText="1" noThreeD="1"/>
</file>

<file path=xl/ctrlProps/ctrlProp262.xml><?xml version="1.0" encoding="utf-8"?>
<formControlPr xmlns="http://schemas.microsoft.com/office/spreadsheetml/2009/9/main" objectType="CheckBox" fmlaLink="$A$17" lockText="1" noThreeD="1"/>
</file>

<file path=xl/ctrlProps/ctrlProp263.xml><?xml version="1.0" encoding="utf-8"?>
<formControlPr xmlns="http://schemas.microsoft.com/office/spreadsheetml/2009/9/main" objectType="CheckBox" checked="Checked" fmlaLink="$A$18" lockText="1" noThreeD="1"/>
</file>

<file path=xl/ctrlProps/ctrlProp264.xml><?xml version="1.0" encoding="utf-8"?>
<formControlPr xmlns="http://schemas.microsoft.com/office/spreadsheetml/2009/9/main" objectType="Drop" dropLines="4" dropStyle="combo" dx="22" fmlaLink="$A$21" fmlaRange="$B$249:$B$252" noThreeD="1" sel="1" val="0"/>
</file>

<file path=xl/ctrlProps/ctrlProp265.xml><?xml version="1.0" encoding="utf-8"?>
<formControlPr xmlns="http://schemas.microsoft.com/office/spreadsheetml/2009/9/main" objectType="CheckBox" fmlaLink="$A$22" lockText="1" noThreeD="1"/>
</file>

<file path=xl/ctrlProps/ctrlProp266.xml><?xml version="1.0" encoding="utf-8"?>
<formControlPr xmlns="http://schemas.microsoft.com/office/spreadsheetml/2009/9/main" objectType="Drop" dropStyle="combo" dx="22" fmlaLink="$A$25" fmlaRange="$B$257:$B$264" noThreeD="1" sel="1" val="0"/>
</file>

<file path=xl/ctrlProps/ctrlProp267.xml><?xml version="1.0" encoding="utf-8"?>
<formControlPr xmlns="http://schemas.microsoft.com/office/spreadsheetml/2009/9/main" objectType="CheckBox" fmlaLink="$A$23" lockText="1" noThreeD="1"/>
</file>

<file path=xl/ctrlProps/ctrlProp268.xml><?xml version="1.0" encoding="utf-8"?>
<formControlPr xmlns="http://schemas.microsoft.com/office/spreadsheetml/2009/9/main" objectType="Drop" dropLines="4" dropStyle="combo" dx="22" fmlaLink="$A$24" fmlaRange="$B$253:$B$256" noThreeD="1" sel="1" val="0"/>
</file>

<file path=xl/ctrlProps/ctrlProp269.xml><?xml version="1.0" encoding="utf-8"?>
<formControlPr xmlns="http://schemas.microsoft.com/office/spreadsheetml/2009/9/main" objectType="Drop" dropLines="4" dropStyle="combo" dx="22" fmlaLink="$A$14" fmlaRange="$B$253:$B$256" noThreeD="1" sel="4" val="0"/>
</file>

<file path=xl/ctrlProps/ctrlProp27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270.xml><?xml version="1.0" encoding="utf-8"?>
<formControlPr xmlns="http://schemas.microsoft.com/office/spreadsheetml/2009/9/main" objectType="CheckBox" fmlaLink="$A$37" lockText="1" noThreeD="1"/>
</file>

<file path=xl/ctrlProps/ctrlProp271.xml><?xml version="1.0" encoding="utf-8"?>
<formControlPr xmlns="http://schemas.microsoft.com/office/spreadsheetml/2009/9/main" objectType="CheckBox" checked="Checked" fmlaLink="$A$38" lockText="1" noThreeD="1"/>
</file>

<file path=xl/ctrlProps/ctrlProp272.xml><?xml version="1.0" encoding="utf-8"?>
<formControlPr xmlns="http://schemas.microsoft.com/office/spreadsheetml/2009/9/main" objectType="Drop" dropLines="4" dropStyle="combo" dx="22" fmlaLink="$A$41" fmlaRange="$B$249:$B$252" noThreeD="1" sel="1" val="0"/>
</file>

<file path=xl/ctrlProps/ctrlProp273.xml><?xml version="1.0" encoding="utf-8"?>
<formControlPr xmlns="http://schemas.microsoft.com/office/spreadsheetml/2009/9/main" objectType="CheckBox" fmlaLink="$A$42" lockText="1" noThreeD="1"/>
</file>

<file path=xl/ctrlProps/ctrlProp274.xml><?xml version="1.0" encoding="utf-8"?>
<formControlPr xmlns="http://schemas.microsoft.com/office/spreadsheetml/2009/9/main" objectType="Drop" dropStyle="combo" dx="22" fmlaLink="$A$45" fmlaRange="$B$257:$B$264" noThreeD="1" sel="1" val="0"/>
</file>

<file path=xl/ctrlProps/ctrlProp275.xml><?xml version="1.0" encoding="utf-8"?>
<formControlPr xmlns="http://schemas.microsoft.com/office/spreadsheetml/2009/9/main" objectType="CheckBox" fmlaLink="$A$43" lockText="1" noThreeD="1"/>
</file>

<file path=xl/ctrlProps/ctrlProp276.xml><?xml version="1.0" encoding="utf-8"?>
<formControlPr xmlns="http://schemas.microsoft.com/office/spreadsheetml/2009/9/main" objectType="Drop" dropLines="4" dropStyle="combo" dx="22" fmlaLink="$A$44" fmlaRange="$B$253:$B$256" noThreeD="1" sel="1" val="0"/>
</file>

<file path=xl/ctrlProps/ctrlProp277.xml><?xml version="1.0" encoding="utf-8"?>
<formControlPr xmlns="http://schemas.microsoft.com/office/spreadsheetml/2009/9/main" objectType="CheckBox" fmlaLink="$A$47" lockText="1" noThreeD="1"/>
</file>

<file path=xl/ctrlProps/ctrlProp278.xml><?xml version="1.0" encoding="utf-8"?>
<formControlPr xmlns="http://schemas.microsoft.com/office/spreadsheetml/2009/9/main" objectType="CheckBox" checked="Checked" fmlaLink="$A$48" lockText="1" noThreeD="1"/>
</file>

<file path=xl/ctrlProps/ctrlProp279.xml><?xml version="1.0" encoding="utf-8"?>
<formControlPr xmlns="http://schemas.microsoft.com/office/spreadsheetml/2009/9/main" objectType="Drop" dropLines="4" dropStyle="combo" dx="22" fmlaLink="$A$51" fmlaRange="$B$249:$B$252" noThreeD="1" sel="1" val="0"/>
</file>

<file path=xl/ctrlProps/ctrlProp28.xml><?xml version="1.0" encoding="utf-8"?>
<formControlPr xmlns="http://schemas.microsoft.com/office/spreadsheetml/2009/9/main" objectType="CheckBox" fmlaLink="#REF!" lockText="1" noThreeD="1"/>
</file>

<file path=xl/ctrlProps/ctrlProp280.xml><?xml version="1.0" encoding="utf-8"?>
<formControlPr xmlns="http://schemas.microsoft.com/office/spreadsheetml/2009/9/main" objectType="CheckBox" fmlaLink="$A$52" lockText="1" noThreeD="1"/>
</file>

<file path=xl/ctrlProps/ctrlProp281.xml><?xml version="1.0" encoding="utf-8"?>
<formControlPr xmlns="http://schemas.microsoft.com/office/spreadsheetml/2009/9/main" objectType="Drop" dropStyle="combo" dx="22" fmlaLink="$A$55" fmlaRange="$B$257:$B$264" noThreeD="1" sel="1" val="0"/>
</file>

<file path=xl/ctrlProps/ctrlProp282.xml><?xml version="1.0" encoding="utf-8"?>
<formControlPr xmlns="http://schemas.microsoft.com/office/spreadsheetml/2009/9/main" objectType="CheckBox" fmlaLink="$A$53" lockText="1" noThreeD="1"/>
</file>

<file path=xl/ctrlProps/ctrlProp283.xml><?xml version="1.0" encoding="utf-8"?>
<formControlPr xmlns="http://schemas.microsoft.com/office/spreadsheetml/2009/9/main" objectType="Drop" dropLines="4" dropStyle="combo" dx="22" fmlaLink="$A$54" fmlaRange="$B$253:$B$256" noThreeD="1" sel="1" val="0"/>
</file>

<file path=xl/ctrlProps/ctrlProp284.xml><?xml version="1.0" encoding="utf-8"?>
<formControlPr xmlns="http://schemas.microsoft.com/office/spreadsheetml/2009/9/main" objectType="CheckBox" fmlaLink="$A$57" lockText="1" noThreeD="1"/>
</file>

<file path=xl/ctrlProps/ctrlProp285.xml><?xml version="1.0" encoding="utf-8"?>
<formControlPr xmlns="http://schemas.microsoft.com/office/spreadsheetml/2009/9/main" objectType="CheckBox" checked="Checked" fmlaLink="$A$58" lockText="1" noThreeD="1"/>
</file>

<file path=xl/ctrlProps/ctrlProp286.xml><?xml version="1.0" encoding="utf-8"?>
<formControlPr xmlns="http://schemas.microsoft.com/office/spreadsheetml/2009/9/main" objectType="Drop" dropLines="4" dropStyle="combo" dx="22" fmlaLink="$A$61" fmlaRange="$B$249:$B$252" noThreeD="1" sel="1" val="0"/>
</file>

<file path=xl/ctrlProps/ctrlProp287.xml><?xml version="1.0" encoding="utf-8"?>
<formControlPr xmlns="http://schemas.microsoft.com/office/spreadsheetml/2009/9/main" objectType="CheckBox" fmlaLink="$A$62" lockText="1" noThreeD="1"/>
</file>

<file path=xl/ctrlProps/ctrlProp288.xml><?xml version="1.0" encoding="utf-8"?>
<formControlPr xmlns="http://schemas.microsoft.com/office/spreadsheetml/2009/9/main" objectType="Drop" dropStyle="combo" dx="22" fmlaLink="$A65" fmlaRange="$B$257:$B$264" noThreeD="1" sel="8" val="0"/>
</file>

<file path=xl/ctrlProps/ctrlProp289.xml><?xml version="1.0" encoding="utf-8"?>
<formControlPr xmlns="http://schemas.microsoft.com/office/spreadsheetml/2009/9/main" objectType="CheckBox" fmlaLink="$A$63" lockText="1" noThreeD="1"/>
</file>

<file path=xl/ctrlProps/ctrlProp29.xml><?xml version="1.0" encoding="utf-8"?>
<formControlPr xmlns="http://schemas.microsoft.com/office/spreadsheetml/2009/9/main" objectType="CheckBox" fmlaLink="#REF!" lockText="1" noThreeD="1"/>
</file>

<file path=xl/ctrlProps/ctrlProp290.xml><?xml version="1.0" encoding="utf-8"?>
<formControlPr xmlns="http://schemas.microsoft.com/office/spreadsheetml/2009/9/main" objectType="Drop" dropLines="4" dropStyle="combo" dx="22" fmlaLink="$A$64" fmlaRange="$B$253:$B$256" noThreeD="1" sel="2" val="0"/>
</file>

<file path=xl/ctrlProps/ctrlProp291.xml><?xml version="1.0" encoding="utf-8"?>
<formControlPr xmlns="http://schemas.microsoft.com/office/spreadsheetml/2009/9/main" objectType="CheckBox" fmlaLink="$A$67" lockText="1" noThreeD="1"/>
</file>

<file path=xl/ctrlProps/ctrlProp292.xml><?xml version="1.0" encoding="utf-8"?>
<formControlPr xmlns="http://schemas.microsoft.com/office/spreadsheetml/2009/9/main" objectType="CheckBox" checked="Checked" fmlaLink="$A$68" lockText="1" noThreeD="1"/>
</file>

<file path=xl/ctrlProps/ctrlProp293.xml><?xml version="1.0" encoding="utf-8"?>
<formControlPr xmlns="http://schemas.microsoft.com/office/spreadsheetml/2009/9/main" objectType="Drop" dropLines="4" dropStyle="combo" dx="22" fmlaLink="$A$71" fmlaRange="$B$249:$B$252" noThreeD="1" sel="1" val="0"/>
</file>

<file path=xl/ctrlProps/ctrlProp294.xml><?xml version="1.0" encoding="utf-8"?>
<formControlPr xmlns="http://schemas.microsoft.com/office/spreadsheetml/2009/9/main" objectType="CheckBox" fmlaLink="$A$72" lockText="1" noThreeD="1"/>
</file>

<file path=xl/ctrlProps/ctrlProp295.xml><?xml version="1.0" encoding="utf-8"?>
<formControlPr xmlns="http://schemas.microsoft.com/office/spreadsheetml/2009/9/main" objectType="Drop" dropStyle="combo" dx="22" fmlaLink="$A$75" fmlaRange="$B$257:$B$264" noThreeD="1" sel="1" val="0"/>
</file>

<file path=xl/ctrlProps/ctrlProp296.xml><?xml version="1.0" encoding="utf-8"?>
<formControlPr xmlns="http://schemas.microsoft.com/office/spreadsheetml/2009/9/main" objectType="CheckBox" fmlaLink="$A$73" lockText="1" noThreeD="1"/>
</file>

<file path=xl/ctrlProps/ctrlProp297.xml><?xml version="1.0" encoding="utf-8"?>
<formControlPr xmlns="http://schemas.microsoft.com/office/spreadsheetml/2009/9/main" objectType="Drop" dropLines="4" dropStyle="combo" dx="22" fmlaLink="$A$74" fmlaRange="$B$253:$B$256" noThreeD="1" sel="1" val="0"/>
</file>

<file path=xl/ctrlProps/ctrlProp298.xml><?xml version="1.0" encoding="utf-8"?>
<formControlPr xmlns="http://schemas.microsoft.com/office/spreadsheetml/2009/9/main" objectType="CheckBox" fmlaLink="$A$77" lockText="1" noThreeD="1"/>
</file>

<file path=xl/ctrlProps/ctrlProp299.xml><?xml version="1.0" encoding="utf-8"?>
<formControlPr xmlns="http://schemas.microsoft.com/office/spreadsheetml/2009/9/main" objectType="CheckBox" checked="Checked" fmlaLink="$A$78" lockText="1" noThreeD="1"/>
</file>

<file path=xl/ctrlProps/ctrlProp3.xml><?xml version="1.0" encoding="utf-8"?>
<formControlPr xmlns="http://schemas.microsoft.com/office/spreadsheetml/2009/9/main" objectType="Drop" dropLines="9" dropStyle="combo" dx="22" fmlaLink="$A$180" fmlaRange="$B$265:$B$273" noThreeD="1" sel="7" val="0"/>
</file>

<file path=xl/ctrlProps/ctrlProp30.xml><?xml version="1.0" encoding="utf-8"?>
<formControlPr xmlns="http://schemas.microsoft.com/office/spreadsheetml/2009/9/main" objectType="CheckBox" fmlaLink="#REF!" lockText="1" noThreeD="1"/>
</file>

<file path=xl/ctrlProps/ctrlProp300.xml><?xml version="1.0" encoding="utf-8"?>
<formControlPr xmlns="http://schemas.microsoft.com/office/spreadsheetml/2009/9/main" objectType="Drop" dropLines="4" dropStyle="combo" dx="22" fmlaLink="$A$81" fmlaRange="$B$249:$B$252" noThreeD="1" sel="1" val="0"/>
</file>

<file path=xl/ctrlProps/ctrlProp301.xml><?xml version="1.0" encoding="utf-8"?>
<formControlPr xmlns="http://schemas.microsoft.com/office/spreadsheetml/2009/9/main" objectType="CheckBox" fmlaLink="$A$82" lockText="1" noThreeD="1"/>
</file>

<file path=xl/ctrlProps/ctrlProp302.xml><?xml version="1.0" encoding="utf-8"?>
<formControlPr xmlns="http://schemas.microsoft.com/office/spreadsheetml/2009/9/main" objectType="Drop" dropStyle="combo" dx="22" fmlaLink="$A$85" fmlaRange="$B$257:$B$264" noThreeD="1" sel="1" val="0"/>
</file>

<file path=xl/ctrlProps/ctrlProp303.xml><?xml version="1.0" encoding="utf-8"?>
<formControlPr xmlns="http://schemas.microsoft.com/office/spreadsheetml/2009/9/main" objectType="CheckBox" fmlaLink="$A$83" lockText="1" noThreeD="1"/>
</file>

<file path=xl/ctrlProps/ctrlProp304.xml><?xml version="1.0" encoding="utf-8"?>
<formControlPr xmlns="http://schemas.microsoft.com/office/spreadsheetml/2009/9/main" objectType="Drop" dropLines="4" dropStyle="combo" dx="22" fmlaLink="$A$84" fmlaRange="$B$253:$B$256" noThreeD="1" sel="1" val="0"/>
</file>

<file path=xl/ctrlProps/ctrlProp305.xml><?xml version="1.0" encoding="utf-8"?>
<formControlPr xmlns="http://schemas.microsoft.com/office/spreadsheetml/2009/9/main" objectType="CheckBox" fmlaLink="$A$87" lockText="1" noThreeD="1"/>
</file>

<file path=xl/ctrlProps/ctrlProp306.xml><?xml version="1.0" encoding="utf-8"?>
<formControlPr xmlns="http://schemas.microsoft.com/office/spreadsheetml/2009/9/main" objectType="CheckBox" checked="Checked" fmlaLink="$A$88" lockText="1" noThreeD="1"/>
</file>

<file path=xl/ctrlProps/ctrlProp307.xml><?xml version="1.0" encoding="utf-8"?>
<formControlPr xmlns="http://schemas.microsoft.com/office/spreadsheetml/2009/9/main" objectType="Drop" dropLines="4" dropStyle="combo" dx="22" fmlaLink="$A$91" fmlaRange="$B$249:$B$252" noThreeD="1" sel="2" val="0"/>
</file>

<file path=xl/ctrlProps/ctrlProp308.xml><?xml version="1.0" encoding="utf-8"?>
<formControlPr xmlns="http://schemas.microsoft.com/office/spreadsheetml/2009/9/main" objectType="CheckBox" fmlaLink="$A$92" lockText="1" noThreeD="1"/>
</file>

<file path=xl/ctrlProps/ctrlProp309.xml><?xml version="1.0" encoding="utf-8"?>
<formControlPr xmlns="http://schemas.microsoft.com/office/spreadsheetml/2009/9/main" objectType="Drop" dropStyle="combo" dx="22" fmlaLink="$A$95" fmlaRange="$B$257:$B$264" noThreeD="1" sel="1" val="0"/>
</file>

<file path=xl/ctrlProps/ctrlProp31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310.xml><?xml version="1.0" encoding="utf-8"?>
<formControlPr xmlns="http://schemas.microsoft.com/office/spreadsheetml/2009/9/main" objectType="CheckBox" fmlaLink="$A$93" lockText="1" noThreeD="1"/>
</file>

<file path=xl/ctrlProps/ctrlProp311.xml><?xml version="1.0" encoding="utf-8"?>
<formControlPr xmlns="http://schemas.microsoft.com/office/spreadsheetml/2009/9/main" objectType="Drop" dropLines="4" dropStyle="combo" dx="22" fmlaLink="$A$94" fmlaRange="$B$253:$B$256" noThreeD="1" sel="1" val="0"/>
</file>

<file path=xl/ctrlProps/ctrlProp312.xml><?xml version="1.0" encoding="utf-8"?>
<formControlPr xmlns="http://schemas.microsoft.com/office/spreadsheetml/2009/9/main" objectType="CheckBox" fmlaLink="$A$97" lockText="1" noThreeD="1"/>
</file>

<file path=xl/ctrlProps/ctrlProp313.xml><?xml version="1.0" encoding="utf-8"?>
<formControlPr xmlns="http://schemas.microsoft.com/office/spreadsheetml/2009/9/main" objectType="CheckBox" fmlaLink="$A$98" lockText="1" noThreeD="1"/>
</file>

<file path=xl/ctrlProps/ctrlProp314.xml><?xml version="1.0" encoding="utf-8"?>
<formControlPr xmlns="http://schemas.microsoft.com/office/spreadsheetml/2009/9/main" objectType="Drop" dropLines="4" dropStyle="combo" dx="22" fmlaLink="$A$101" fmlaRange="$B$249:$B$252" noThreeD="1" sel="1" val="0"/>
</file>

<file path=xl/ctrlProps/ctrlProp315.xml><?xml version="1.0" encoding="utf-8"?>
<formControlPr xmlns="http://schemas.microsoft.com/office/spreadsheetml/2009/9/main" objectType="CheckBox" fmlaLink="$A$102" lockText="1" noThreeD="1"/>
</file>

<file path=xl/ctrlProps/ctrlProp316.xml><?xml version="1.0" encoding="utf-8"?>
<formControlPr xmlns="http://schemas.microsoft.com/office/spreadsheetml/2009/9/main" objectType="Drop" dropStyle="combo" dx="22" fmlaLink="$A$105" fmlaRange="$B$257:$B$264" noThreeD="1" sel="1" val="0"/>
</file>

<file path=xl/ctrlProps/ctrlProp317.xml><?xml version="1.0" encoding="utf-8"?>
<formControlPr xmlns="http://schemas.microsoft.com/office/spreadsheetml/2009/9/main" objectType="CheckBox" fmlaLink="$A$103" lockText="1" noThreeD="1"/>
</file>

<file path=xl/ctrlProps/ctrlProp318.xml><?xml version="1.0" encoding="utf-8"?>
<formControlPr xmlns="http://schemas.microsoft.com/office/spreadsheetml/2009/9/main" objectType="Drop" dropLines="4" dropStyle="combo" dx="22" fmlaLink="$A$104" fmlaRange="$B$253:$B$256" noThreeD="1" sel="1" val="0"/>
</file>

<file path=xl/ctrlProps/ctrlProp319.xml><?xml version="1.0" encoding="utf-8"?>
<formControlPr xmlns="http://schemas.microsoft.com/office/spreadsheetml/2009/9/main" objectType="CheckBox" fmlaLink="$A$107" lockText="1" noThreeD="1"/>
</file>

<file path=xl/ctrlProps/ctrlProp32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320.xml><?xml version="1.0" encoding="utf-8"?>
<formControlPr xmlns="http://schemas.microsoft.com/office/spreadsheetml/2009/9/main" objectType="CheckBox" checked="Checked" fmlaLink="$A$108" lockText="1" noThreeD="1"/>
</file>

<file path=xl/ctrlProps/ctrlProp321.xml><?xml version="1.0" encoding="utf-8"?>
<formControlPr xmlns="http://schemas.microsoft.com/office/spreadsheetml/2009/9/main" objectType="Drop" dropLines="4" dropStyle="combo" dx="22" fmlaLink="$A$111" fmlaRange="$B$249:$B$252" noThreeD="1" sel="1" val="0"/>
</file>

<file path=xl/ctrlProps/ctrlProp322.xml><?xml version="1.0" encoding="utf-8"?>
<formControlPr xmlns="http://schemas.microsoft.com/office/spreadsheetml/2009/9/main" objectType="CheckBox" fmlaLink="$A$112" lockText="1" noThreeD="1"/>
</file>

<file path=xl/ctrlProps/ctrlProp323.xml><?xml version="1.0" encoding="utf-8"?>
<formControlPr xmlns="http://schemas.microsoft.com/office/spreadsheetml/2009/9/main" objectType="Drop" dropStyle="combo" dx="22" fmlaLink="$A$115" fmlaRange="$B$257:$B$264" noThreeD="1" sel="1" val="0"/>
</file>

<file path=xl/ctrlProps/ctrlProp324.xml><?xml version="1.0" encoding="utf-8"?>
<formControlPr xmlns="http://schemas.microsoft.com/office/spreadsheetml/2009/9/main" objectType="CheckBox" fmlaLink="$A$113" lockText="1" noThreeD="1"/>
</file>

<file path=xl/ctrlProps/ctrlProp325.xml><?xml version="1.0" encoding="utf-8"?>
<formControlPr xmlns="http://schemas.microsoft.com/office/spreadsheetml/2009/9/main" objectType="Drop" dropLines="4" dropStyle="combo" dx="22" fmlaLink="$A$114" fmlaRange="$B$253:$B$256" noThreeD="1" sel="1" val="0"/>
</file>

<file path=xl/ctrlProps/ctrlProp326.xml><?xml version="1.0" encoding="utf-8"?>
<formControlPr xmlns="http://schemas.microsoft.com/office/spreadsheetml/2009/9/main" objectType="CheckBox" fmlaLink="$A$117" lockText="1" noThreeD="1"/>
</file>

<file path=xl/ctrlProps/ctrlProp327.xml><?xml version="1.0" encoding="utf-8"?>
<formControlPr xmlns="http://schemas.microsoft.com/office/spreadsheetml/2009/9/main" objectType="CheckBox" checked="Checked" fmlaLink="$A$118" lockText="1" noThreeD="1"/>
</file>

<file path=xl/ctrlProps/ctrlProp328.xml><?xml version="1.0" encoding="utf-8"?>
<formControlPr xmlns="http://schemas.microsoft.com/office/spreadsheetml/2009/9/main" objectType="Drop" dropLines="4" dropStyle="combo" dx="22" fmlaLink="$A$121" fmlaRange="$B$249:$B$252" noThreeD="1" sel="1" val="0"/>
</file>

<file path=xl/ctrlProps/ctrlProp329.xml><?xml version="1.0" encoding="utf-8"?>
<formControlPr xmlns="http://schemas.microsoft.com/office/spreadsheetml/2009/9/main" objectType="CheckBox" fmlaLink="$A$122" lockText="1" noThreeD="1"/>
</file>

<file path=xl/ctrlProps/ctrlProp33.xml><?xml version="1.0" encoding="utf-8"?>
<formControlPr xmlns="http://schemas.microsoft.com/office/spreadsheetml/2009/9/main" objectType="CheckBox" fmlaLink="#REF!" lockText="1" noThreeD="1"/>
</file>

<file path=xl/ctrlProps/ctrlProp330.xml><?xml version="1.0" encoding="utf-8"?>
<formControlPr xmlns="http://schemas.microsoft.com/office/spreadsheetml/2009/9/main" objectType="Drop" dropStyle="combo" dx="22" fmlaLink="$A$125" fmlaRange="$B$257:$B$264" noThreeD="1" sel="1" val="0"/>
</file>

<file path=xl/ctrlProps/ctrlProp331.xml><?xml version="1.0" encoding="utf-8"?>
<formControlPr xmlns="http://schemas.microsoft.com/office/spreadsheetml/2009/9/main" objectType="CheckBox" fmlaLink="$A$123" lockText="1" noThreeD="1"/>
</file>

<file path=xl/ctrlProps/ctrlProp332.xml><?xml version="1.0" encoding="utf-8"?>
<formControlPr xmlns="http://schemas.microsoft.com/office/spreadsheetml/2009/9/main" objectType="Drop" dropLines="4" dropStyle="combo" dx="22" fmlaLink="$A$124" fmlaRange="$B$253:$B$256" noThreeD="1" sel="1" val="0"/>
</file>

<file path=xl/ctrlProps/ctrlProp333.xml><?xml version="1.0" encoding="utf-8"?>
<formControlPr xmlns="http://schemas.microsoft.com/office/spreadsheetml/2009/9/main" objectType="CheckBox" fmlaLink="$A$127" lockText="1" noThreeD="1"/>
</file>

<file path=xl/ctrlProps/ctrlProp334.xml><?xml version="1.0" encoding="utf-8"?>
<formControlPr xmlns="http://schemas.microsoft.com/office/spreadsheetml/2009/9/main" objectType="CheckBox" checked="Checked" fmlaLink="$A$128" lockText="1" noThreeD="1"/>
</file>

<file path=xl/ctrlProps/ctrlProp335.xml><?xml version="1.0" encoding="utf-8"?>
<formControlPr xmlns="http://schemas.microsoft.com/office/spreadsheetml/2009/9/main" objectType="Drop" dropLines="4" dropStyle="combo" dx="22" fmlaLink="$A$131" fmlaRange="$B$249:$B$252" noThreeD="1" sel="1" val="0"/>
</file>

<file path=xl/ctrlProps/ctrlProp336.xml><?xml version="1.0" encoding="utf-8"?>
<formControlPr xmlns="http://schemas.microsoft.com/office/spreadsheetml/2009/9/main" objectType="CheckBox" fmlaLink="$A$132" lockText="1" noThreeD="1"/>
</file>

<file path=xl/ctrlProps/ctrlProp337.xml><?xml version="1.0" encoding="utf-8"?>
<formControlPr xmlns="http://schemas.microsoft.com/office/spreadsheetml/2009/9/main" objectType="Drop" dropStyle="combo" dx="22" fmlaLink="$A$135" fmlaRange="$B$257:$B$264" noThreeD="1" sel="1" val="0"/>
</file>

<file path=xl/ctrlProps/ctrlProp338.xml><?xml version="1.0" encoding="utf-8"?>
<formControlPr xmlns="http://schemas.microsoft.com/office/spreadsheetml/2009/9/main" objectType="CheckBox" fmlaLink="$A$133" lockText="1" noThreeD="1"/>
</file>

<file path=xl/ctrlProps/ctrlProp339.xml><?xml version="1.0" encoding="utf-8"?>
<formControlPr xmlns="http://schemas.microsoft.com/office/spreadsheetml/2009/9/main" objectType="Drop" dropLines="4" dropStyle="combo" dx="22" fmlaLink="$A$134" fmlaRange="$B$253:$B$256" noThreeD="1" sel="1" val="0"/>
</file>

<file path=xl/ctrlProps/ctrlProp34.xml><?xml version="1.0" encoding="utf-8"?>
<formControlPr xmlns="http://schemas.microsoft.com/office/spreadsheetml/2009/9/main" objectType="CheckBox" fmlaLink="#REF!" lockText="1" noThreeD="1"/>
</file>

<file path=xl/ctrlProps/ctrlProp340.xml><?xml version="1.0" encoding="utf-8"?>
<formControlPr xmlns="http://schemas.microsoft.com/office/spreadsheetml/2009/9/main" objectType="CheckBox" fmlaLink="$A$137" lockText="1" noThreeD="1"/>
</file>

<file path=xl/ctrlProps/ctrlProp341.xml><?xml version="1.0" encoding="utf-8"?>
<formControlPr xmlns="http://schemas.microsoft.com/office/spreadsheetml/2009/9/main" objectType="CheckBox" checked="Checked" fmlaLink="$A$138" lockText="1" noThreeD="1"/>
</file>

<file path=xl/ctrlProps/ctrlProp342.xml><?xml version="1.0" encoding="utf-8"?>
<formControlPr xmlns="http://schemas.microsoft.com/office/spreadsheetml/2009/9/main" objectType="Drop" dropLines="4" dropStyle="combo" dx="22" fmlaLink="$A$141" fmlaRange="$B$249:$B$252" noThreeD="1" sel="1" val="0"/>
</file>

<file path=xl/ctrlProps/ctrlProp343.xml><?xml version="1.0" encoding="utf-8"?>
<formControlPr xmlns="http://schemas.microsoft.com/office/spreadsheetml/2009/9/main" objectType="CheckBox" fmlaLink="$A$142" lockText="1" noThreeD="1"/>
</file>

<file path=xl/ctrlProps/ctrlProp344.xml><?xml version="1.0" encoding="utf-8"?>
<formControlPr xmlns="http://schemas.microsoft.com/office/spreadsheetml/2009/9/main" objectType="Drop" dropStyle="combo" dx="22" fmlaLink="$A$145" fmlaRange="$B$257:$B$264" noThreeD="1" sel="1" val="0"/>
</file>

<file path=xl/ctrlProps/ctrlProp345.xml><?xml version="1.0" encoding="utf-8"?>
<formControlPr xmlns="http://schemas.microsoft.com/office/spreadsheetml/2009/9/main" objectType="CheckBox" fmlaLink="$A$143" lockText="1" noThreeD="1"/>
</file>

<file path=xl/ctrlProps/ctrlProp346.xml><?xml version="1.0" encoding="utf-8"?>
<formControlPr xmlns="http://schemas.microsoft.com/office/spreadsheetml/2009/9/main" objectType="Drop" dropLines="4" dropStyle="combo" dx="22" fmlaLink="$A$144" fmlaRange="$B$253:$B$256" noThreeD="1" sel="1" val="0"/>
</file>

<file path=xl/ctrlProps/ctrlProp347.xml><?xml version="1.0" encoding="utf-8"?>
<formControlPr xmlns="http://schemas.microsoft.com/office/spreadsheetml/2009/9/main" objectType="CheckBox" fmlaLink="$A$147" lockText="1" noThreeD="1"/>
</file>

<file path=xl/ctrlProps/ctrlProp348.xml><?xml version="1.0" encoding="utf-8"?>
<formControlPr xmlns="http://schemas.microsoft.com/office/spreadsheetml/2009/9/main" objectType="CheckBox" checked="Checked" fmlaLink="$A$148" lockText="1" noThreeD="1"/>
</file>

<file path=xl/ctrlProps/ctrlProp349.xml><?xml version="1.0" encoding="utf-8"?>
<formControlPr xmlns="http://schemas.microsoft.com/office/spreadsheetml/2009/9/main" objectType="Drop" dropLines="4" dropStyle="combo" dx="22" fmlaLink="$A$151" fmlaRange="$B$249:$B$252" noThreeD="1" sel="1" val="0"/>
</file>

<file path=xl/ctrlProps/ctrlProp35.xml><?xml version="1.0" encoding="utf-8"?>
<formControlPr xmlns="http://schemas.microsoft.com/office/spreadsheetml/2009/9/main" objectType="CheckBox" fmlaLink="#REF!" lockText="1" noThreeD="1"/>
</file>

<file path=xl/ctrlProps/ctrlProp350.xml><?xml version="1.0" encoding="utf-8"?>
<formControlPr xmlns="http://schemas.microsoft.com/office/spreadsheetml/2009/9/main" objectType="CheckBox" fmlaLink="$A$152" lockText="1" noThreeD="1"/>
</file>

<file path=xl/ctrlProps/ctrlProp351.xml><?xml version="1.0" encoding="utf-8"?>
<formControlPr xmlns="http://schemas.microsoft.com/office/spreadsheetml/2009/9/main" objectType="Drop" dropStyle="combo" dx="22" fmlaLink="$A$155" fmlaRange="$B$257:$B$264" noThreeD="1" sel="1" val="0"/>
</file>

<file path=xl/ctrlProps/ctrlProp352.xml><?xml version="1.0" encoding="utf-8"?>
<formControlPr xmlns="http://schemas.microsoft.com/office/spreadsheetml/2009/9/main" objectType="CheckBox" fmlaLink="$A$153" lockText="1" noThreeD="1"/>
</file>

<file path=xl/ctrlProps/ctrlProp353.xml><?xml version="1.0" encoding="utf-8"?>
<formControlPr xmlns="http://schemas.microsoft.com/office/spreadsheetml/2009/9/main" objectType="Drop" dropLines="4" dropStyle="combo" dx="22" fmlaLink="$A$154" fmlaRange="$B$253:$B$256" noThreeD="1" sel="1" val="0"/>
</file>

<file path=xl/ctrlProps/ctrlProp354.xml><?xml version="1.0" encoding="utf-8"?>
<formControlPr xmlns="http://schemas.microsoft.com/office/spreadsheetml/2009/9/main" objectType="CheckBox" fmlaLink="$A$157" lockText="1" noThreeD="1"/>
</file>

<file path=xl/ctrlProps/ctrlProp355.xml><?xml version="1.0" encoding="utf-8"?>
<formControlPr xmlns="http://schemas.microsoft.com/office/spreadsheetml/2009/9/main" objectType="CheckBox" checked="Checked" fmlaLink="$A$158" lockText="1" noThreeD="1"/>
</file>

<file path=xl/ctrlProps/ctrlProp356.xml><?xml version="1.0" encoding="utf-8"?>
<formControlPr xmlns="http://schemas.microsoft.com/office/spreadsheetml/2009/9/main" objectType="Drop" dropLines="4" dropStyle="combo" dx="22" fmlaLink="$A$161" fmlaRange="$B$249:$B$252" noThreeD="1" sel="1" val="0"/>
</file>

<file path=xl/ctrlProps/ctrlProp357.xml><?xml version="1.0" encoding="utf-8"?>
<formControlPr xmlns="http://schemas.microsoft.com/office/spreadsheetml/2009/9/main" objectType="CheckBox" fmlaLink="$A$162" lockText="1" noThreeD="1"/>
</file>

<file path=xl/ctrlProps/ctrlProp358.xml><?xml version="1.0" encoding="utf-8"?>
<formControlPr xmlns="http://schemas.microsoft.com/office/spreadsheetml/2009/9/main" objectType="Drop" dropStyle="combo" dx="22" fmlaLink="$A$165" fmlaRange="$B$257:$B$264" noThreeD="1" sel="1" val="0"/>
</file>

<file path=xl/ctrlProps/ctrlProp359.xml><?xml version="1.0" encoding="utf-8"?>
<formControlPr xmlns="http://schemas.microsoft.com/office/spreadsheetml/2009/9/main" objectType="CheckBox" fmlaLink="$A$163" lockText="1" noThreeD="1"/>
</file>

<file path=xl/ctrlProps/ctrlProp36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360.xml><?xml version="1.0" encoding="utf-8"?>
<formControlPr xmlns="http://schemas.microsoft.com/office/spreadsheetml/2009/9/main" objectType="Drop" dropLines="4" dropStyle="combo" dx="22" fmlaLink="$A$164" fmlaRange="$B$253:$B$256" noThreeD="1" sel="1" val="0"/>
</file>

<file path=xl/ctrlProps/ctrlProp361.xml><?xml version="1.0" encoding="utf-8"?>
<formControlPr xmlns="http://schemas.microsoft.com/office/spreadsheetml/2009/9/main" objectType="CheckBox" fmlaLink="$A$172" lockText="1" noThreeD="1"/>
</file>

<file path=xl/ctrlProps/ctrlProp362.xml><?xml version="1.0" encoding="utf-8"?>
<formControlPr xmlns="http://schemas.microsoft.com/office/spreadsheetml/2009/9/main" objectType="CheckBox" fmlaLink="$A$173" lockText="1" noThreeD="1"/>
</file>

<file path=xl/ctrlProps/ctrlProp363.xml><?xml version="1.0" encoding="utf-8"?>
<formControlPr xmlns="http://schemas.microsoft.com/office/spreadsheetml/2009/9/main" objectType="CheckBox" fmlaLink="$A$176" lockText="1" noThreeD="1"/>
</file>

<file path=xl/ctrlProps/ctrlProp364.xml><?xml version="1.0" encoding="utf-8"?>
<formControlPr xmlns="http://schemas.microsoft.com/office/spreadsheetml/2009/9/main" objectType="CheckBox" fmlaLink="$A$183" lockText="1" noThreeD="1"/>
</file>

<file path=xl/ctrlProps/ctrlProp365.xml><?xml version="1.0" encoding="utf-8"?>
<formControlPr xmlns="http://schemas.microsoft.com/office/spreadsheetml/2009/9/main" objectType="CheckBox" fmlaLink="$A$182" lockText="1" noThreeD="1"/>
</file>

<file path=xl/ctrlProps/ctrlProp366.xml><?xml version="1.0" encoding="utf-8"?>
<formControlPr xmlns="http://schemas.microsoft.com/office/spreadsheetml/2009/9/main" objectType="CheckBox" fmlaLink="$A$185" lockText="1" noThreeD="1"/>
</file>

<file path=xl/ctrlProps/ctrlProp367.xml><?xml version="1.0" encoding="utf-8"?>
<formControlPr xmlns="http://schemas.microsoft.com/office/spreadsheetml/2009/9/main" objectType="CheckBox" fmlaLink="$A$186" lockText="1" noThreeD="1"/>
</file>

<file path=xl/ctrlProps/ctrlProp368.xml><?xml version="1.0" encoding="utf-8"?>
<formControlPr xmlns="http://schemas.microsoft.com/office/spreadsheetml/2009/9/main" objectType="CheckBox" fmlaLink="$A$175" lockText="1" noThreeD="1"/>
</file>

<file path=xl/ctrlProps/ctrlProp369.xml><?xml version="1.0" encoding="utf-8"?>
<formControlPr xmlns="http://schemas.microsoft.com/office/spreadsheetml/2009/9/main" objectType="Drop" dropLines="5" dropStyle="combo" dx="22" fmlaLink="$A$194" fmlaRange="$B$274:$B$278" noThreeD="1" sel="1" val="0"/>
</file>

<file path=xl/ctrlProps/ctrlProp37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370.xml><?xml version="1.0" encoding="utf-8"?>
<formControlPr xmlns="http://schemas.microsoft.com/office/spreadsheetml/2009/9/main" objectType="Drop" dropLines="5" dropStyle="combo" dx="22" fmlaLink="$A$191" fmlaRange="$B$274:$B$278" noThreeD="1" sel="1" val="0"/>
</file>

<file path=xl/ctrlProps/ctrlProp371.xml><?xml version="1.0" encoding="utf-8"?>
<formControlPr xmlns="http://schemas.microsoft.com/office/spreadsheetml/2009/9/main" objectType="Drop" dropLines="9" dropStyle="combo" dx="22" fmlaLink="$A$190" fmlaRange="$B$265:$B$273" noThreeD="1" sel="9" val="0"/>
</file>

<file path=xl/ctrlProps/ctrlProp372.xml><?xml version="1.0" encoding="utf-8"?>
<formControlPr xmlns="http://schemas.microsoft.com/office/spreadsheetml/2009/9/main" objectType="CheckBox" fmlaLink="$A$193" lockText="1" noThreeD="1"/>
</file>

<file path=xl/ctrlProps/ctrlProp373.xml><?xml version="1.0" encoding="utf-8"?>
<formControlPr xmlns="http://schemas.microsoft.com/office/spreadsheetml/2009/9/main" objectType="CheckBox" fmlaLink="$A$192" lockText="1" noThreeD="1"/>
</file>

<file path=xl/ctrlProps/ctrlProp374.xml><?xml version="1.0" encoding="utf-8"?>
<formControlPr xmlns="http://schemas.microsoft.com/office/spreadsheetml/2009/9/main" objectType="CheckBox" fmlaLink="$A$195" lockText="1" noThreeD="1"/>
</file>

<file path=xl/ctrlProps/ctrlProp375.xml><?xml version="1.0" encoding="utf-8"?>
<formControlPr xmlns="http://schemas.microsoft.com/office/spreadsheetml/2009/9/main" objectType="CheckBox" fmlaLink="$A$196" lockText="1" noThreeD="1"/>
</file>

<file path=xl/ctrlProps/ctrlProp376.xml><?xml version="1.0" encoding="utf-8"?>
<formControlPr xmlns="http://schemas.microsoft.com/office/spreadsheetml/2009/9/main" objectType="CheckBox" checked="Checked" fmlaLink="$A$168" lockText="1" noThreeD="1"/>
</file>

<file path=xl/ctrlProps/ctrlProp377.xml><?xml version="1.0" encoding="utf-8"?>
<formControlPr xmlns="http://schemas.microsoft.com/office/spreadsheetml/2009/9/main" objectType="Drop" dropLines="5" dropStyle="combo" dx="22" fmlaLink="$A$204" fmlaRange="$B$274:$B$278" noThreeD="1" sel="1" val="0"/>
</file>

<file path=xl/ctrlProps/ctrlProp378.xml><?xml version="1.0" encoding="utf-8"?>
<formControlPr xmlns="http://schemas.microsoft.com/office/spreadsheetml/2009/9/main" objectType="Drop" dropLines="5" dropStyle="combo" dx="22" fmlaLink="$A$201" fmlaRange="$B$274:$B$278" noThreeD="1" sel="1" val="0"/>
</file>

<file path=xl/ctrlProps/ctrlProp379.xml><?xml version="1.0" encoding="utf-8"?>
<formControlPr xmlns="http://schemas.microsoft.com/office/spreadsheetml/2009/9/main" objectType="Drop" dropLines="9" dropStyle="combo" dx="22" fmlaLink="$A$200" fmlaRange="$B$265:$B$273" noThreeD="1" sel="1" val="0"/>
</file>

<file path=xl/ctrlProps/ctrlProp38.xml><?xml version="1.0" encoding="utf-8"?>
<formControlPr xmlns="http://schemas.microsoft.com/office/spreadsheetml/2009/9/main" objectType="CheckBox" fmlaLink="#REF!" lockText="1" noThreeD="1"/>
</file>

<file path=xl/ctrlProps/ctrlProp380.xml><?xml version="1.0" encoding="utf-8"?>
<formControlPr xmlns="http://schemas.microsoft.com/office/spreadsheetml/2009/9/main" objectType="CheckBox" fmlaLink="$A$203" lockText="1" noThreeD="1"/>
</file>

<file path=xl/ctrlProps/ctrlProp381.xml><?xml version="1.0" encoding="utf-8"?>
<formControlPr xmlns="http://schemas.microsoft.com/office/spreadsheetml/2009/9/main" objectType="CheckBox" fmlaLink="$A$202" lockText="1" noThreeD="1"/>
</file>

<file path=xl/ctrlProps/ctrlProp382.xml><?xml version="1.0" encoding="utf-8"?>
<formControlPr xmlns="http://schemas.microsoft.com/office/spreadsheetml/2009/9/main" objectType="CheckBox" fmlaLink="$A$205" lockText="1" noThreeD="1"/>
</file>

<file path=xl/ctrlProps/ctrlProp383.xml><?xml version="1.0" encoding="utf-8"?>
<formControlPr xmlns="http://schemas.microsoft.com/office/spreadsheetml/2009/9/main" objectType="CheckBox" fmlaLink="$A$206" lockText="1" noThreeD="1"/>
</file>

<file path=xl/ctrlProps/ctrlProp384.xml><?xml version="1.0" encoding="utf-8"?>
<formControlPr xmlns="http://schemas.microsoft.com/office/spreadsheetml/2009/9/main" objectType="Drop" dropLines="5" dropStyle="combo" dx="22" fmlaLink="$A$194" fmlaRange="$B$274:$B$278" noThreeD="1" sel="1" val="0"/>
</file>

<file path=xl/ctrlProps/ctrlProp385.xml><?xml version="1.0" encoding="utf-8"?>
<formControlPr xmlns="http://schemas.microsoft.com/office/spreadsheetml/2009/9/main" objectType="Drop" dropLines="5" dropStyle="combo" dx="22" fmlaLink="$A$191" fmlaRange="$B$274:$B$278" noThreeD="1" sel="1" val="0"/>
</file>

<file path=xl/ctrlProps/ctrlProp386.xml><?xml version="1.0" encoding="utf-8"?>
<formControlPr xmlns="http://schemas.microsoft.com/office/spreadsheetml/2009/9/main" objectType="Drop" dropLines="9" dropStyle="combo" dx="22" fmlaLink="$A$210" fmlaRange="$B$265:$B$273" noThreeD="1" sel="1" val="0"/>
</file>

<file path=xl/ctrlProps/ctrlProp387.xml><?xml version="1.0" encoding="utf-8"?>
<formControlPr xmlns="http://schemas.microsoft.com/office/spreadsheetml/2009/9/main" objectType="CheckBox" fmlaLink="$A$193" lockText="1" noThreeD="1"/>
</file>

<file path=xl/ctrlProps/ctrlProp388.xml><?xml version="1.0" encoding="utf-8"?>
<formControlPr xmlns="http://schemas.microsoft.com/office/spreadsheetml/2009/9/main" objectType="CheckBox" fmlaLink="$A$192" lockText="1" noThreeD="1"/>
</file>

<file path=xl/ctrlProps/ctrlProp389.xml><?xml version="1.0" encoding="utf-8"?>
<formControlPr xmlns="http://schemas.microsoft.com/office/spreadsheetml/2009/9/main" objectType="CheckBox" fmlaLink="$A$195" lockText="1" noThreeD="1"/>
</file>

<file path=xl/ctrlProps/ctrlProp39.xml><?xml version="1.0" encoding="utf-8"?>
<formControlPr xmlns="http://schemas.microsoft.com/office/spreadsheetml/2009/9/main" objectType="CheckBox" fmlaLink="#REF!" lockText="1" noThreeD="1"/>
</file>

<file path=xl/ctrlProps/ctrlProp390.xml><?xml version="1.0" encoding="utf-8"?>
<formControlPr xmlns="http://schemas.microsoft.com/office/spreadsheetml/2009/9/main" objectType="CheckBox" fmlaLink="$A$196" lockText="1" noThreeD="1"/>
</file>

<file path=xl/ctrlProps/ctrlProp391.xml><?xml version="1.0" encoding="utf-8"?>
<formControlPr xmlns="http://schemas.microsoft.com/office/spreadsheetml/2009/9/main" objectType="Drop" dropLines="5" dropStyle="combo" dx="22" fmlaLink="$A$224" fmlaRange="$B$274:$B$278" noThreeD="1" sel="1" val="0"/>
</file>

<file path=xl/ctrlProps/ctrlProp392.xml><?xml version="1.0" encoding="utf-8"?>
<formControlPr xmlns="http://schemas.microsoft.com/office/spreadsheetml/2009/9/main" objectType="Drop" dropLines="5" dropStyle="combo" dx="22" fmlaLink="$A$221" fmlaRange="$B$274:$B$278" noThreeD="1" sel="1" val="0"/>
</file>

<file path=xl/ctrlProps/ctrlProp393.xml><?xml version="1.0" encoding="utf-8"?>
<formControlPr xmlns="http://schemas.microsoft.com/office/spreadsheetml/2009/9/main" objectType="Drop" dropLines="9" dropStyle="combo" dx="22" fmlaLink="$A$220" fmlaRange="$B$265:$B$273" noThreeD="1" sel="1" val="0"/>
</file>

<file path=xl/ctrlProps/ctrlProp394.xml><?xml version="1.0" encoding="utf-8"?>
<formControlPr xmlns="http://schemas.microsoft.com/office/spreadsheetml/2009/9/main" objectType="CheckBox" fmlaLink="$A$223" lockText="1" noThreeD="1"/>
</file>

<file path=xl/ctrlProps/ctrlProp395.xml><?xml version="1.0" encoding="utf-8"?>
<formControlPr xmlns="http://schemas.microsoft.com/office/spreadsheetml/2009/9/main" objectType="CheckBox" fmlaLink="$A$222" lockText="1" noThreeD="1"/>
</file>

<file path=xl/ctrlProps/ctrlProp396.xml><?xml version="1.0" encoding="utf-8"?>
<formControlPr xmlns="http://schemas.microsoft.com/office/spreadsheetml/2009/9/main" objectType="CheckBox" fmlaLink="$A$225" lockText="1" noThreeD="1"/>
</file>

<file path=xl/ctrlProps/ctrlProp397.xml><?xml version="1.0" encoding="utf-8"?>
<formControlPr xmlns="http://schemas.microsoft.com/office/spreadsheetml/2009/9/main" objectType="CheckBox" fmlaLink="$A$226" lockText="1" noThreeD="1"/>
</file>

<file path=xl/ctrlProps/ctrlProp398.xml><?xml version="1.0" encoding="utf-8"?>
<formControlPr xmlns="http://schemas.microsoft.com/office/spreadsheetml/2009/9/main" objectType="Drop" dropLines="5" dropStyle="combo" dx="22" fmlaLink="$A$234" fmlaRange="$B$274:$B$278" noThreeD="1" sel="1" val="0"/>
</file>

<file path=xl/ctrlProps/ctrlProp399.xml><?xml version="1.0" encoding="utf-8"?>
<formControlPr xmlns="http://schemas.microsoft.com/office/spreadsheetml/2009/9/main" objectType="Drop" dropLines="5" dropStyle="combo" dx="22" fmlaLink="$A$231" fmlaRange="$B$274:$B$278" noThreeD="1" sel="1" val="0"/>
</file>

<file path=xl/ctrlProps/ctrlProp4.xml><?xml version="1.0" encoding="utf-8"?>
<formControlPr xmlns="http://schemas.microsoft.com/office/spreadsheetml/2009/9/main" objectType="Drop" dropLines="5" dropStyle="combo" dx="22" fmlaLink="$A$174" fmlaRange="$B$274:$B$278" noThreeD="1" sel="1" val="0"/>
</file>

<file path=xl/ctrlProps/ctrlProp40.xml><?xml version="1.0" encoding="utf-8"?>
<formControlPr xmlns="http://schemas.microsoft.com/office/spreadsheetml/2009/9/main" objectType="CheckBox" fmlaLink="#REF!" lockText="1" noThreeD="1"/>
</file>

<file path=xl/ctrlProps/ctrlProp400.xml><?xml version="1.0" encoding="utf-8"?>
<formControlPr xmlns="http://schemas.microsoft.com/office/spreadsheetml/2009/9/main" objectType="Drop" dropLines="9" dropStyle="combo" dx="22" fmlaLink="$A$230" fmlaRange="$B$265:$B$273" noThreeD="1" sel="1" val="0"/>
</file>

<file path=xl/ctrlProps/ctrlProp401.xml><?xml version="1.0" encoding="utf-8"?>
<formControlPr xmlns="http://schemas.microsoft.com/office/spreadsheetml/2009/9/main" objectType="CheckBox" fmlaLink="$A$233" lockText="1" noThreeD="1"/>
</file>

<file path=xl/ctrlProps/ctrlProp402.xml><?xml version="1.0" encoding="utf-8"?>
<formControlPr xmlns="http://schemas.microsoft.com/office/spreadsheetml/2009/9/main" objectType="CheckBox" fmlaLink="$A$232" lockText="1" noThreeD="1"/>
</file>

<file path=xl/ctrlProps/ctrlProp403.xml><?xml version="1.0" encoding="utf-8"?>
<formControlPr xmlns="http://schemas.microsoft.com/office/spreadsheetml/2009/9/main" objectType="CheckBox" fmlaLink="$A$235" lockText="1" noThreeD="1"/>
</file>

<file path=xl/ctrlProps/ctrlProp404.xml><?xml version="1.0" encoding="utf-8"?>
<formControlPr xmlns="http://schemas.microsoft.com/office/spreadsheetml/2009/9/main" objectType="CheckBox" fmlaLink="$A$236" lockText="1" noThreeD="1"/>
</file>

<file path=xl/ctrlProps/ctrlProp405.xml><?xml version="1.0" encoding="utf-8"?>
<formControlPr xmlns="http://schemas.microsoft.com/office/spreadsheetml/2009/9/main" objectType="Drop" dropLines="5" dropStyle="combo" dx="22" fmlaLink="$A$244" fmlaRange="$B$274:$B$278" noThreeD="1" sel="1" val="0"/>
</file>

<file path=xl/ctrlProps/ctrlProp406.xml><?xml version="1.0" encoding="utf-8"?>
<formControlPr xmlns="http://schemas.microsoft.com/office/spreadsheetml/2009/9/main" objectType="Drop" dropLines="5" dropStyle="combo" dx="22" fmlaLink="$A$241" fmlaRange="$B$274:$B$278" noThreeD="1" sel="1" val="0"/>
</file>

<file path=xl/ctrlProps/ctrlProp407.xml><?xml version="1.0" encoding="utf-8"?>
<formControlPr xmlns="http://schemas.microsoft.com/office/spreadsheetml/2009/9/main" objectType="Drop" dropLines="9" dropStyle="combo" dx="22" fmlaLink="$A$240" fmlaRange="$B$265:$B$273" noThreeD="1" sel="1" val="0"/>
</file>

<file path=xl/ctrlProps/ctrlProp408.xml><?xml version="1.0" encoding="utf-8"?>
<formControlPr xmlns="http://schemas.microsoft.com/office/spreadsheetml/2009/9/main" objectType="CheckBox" fmlaLink="$A$243" lockText="1" noThreeD="1"/>
</file>

<file path=xl/ctrlProps/ctrlProp409.xml><?xml version="1.0" encoding="utf-8"?>
<formControlPr xmlns="http://schemas.microsoft.com/office/spreadsheetml/2009/9/main" objectType="CheckBox" fmlaLink="$A$242" lockText="1" noThreeD="1"/>
</file>

<file path=xl/ctrlProps/ctrlProp41.xml><?xml version="1.0" encoding="utf-8"?>
<formControlPr xmlns="http://schemas.microsoft.com/office/spreadsheetml/2009/9/main" objectType="Drop" dropStyle="combo" dx="22" fmlaLink="#REF!" fmlaRange="#REF!" noThreeD="1" sel="0" val="0"/>
</file>

<file path=xl/ctrlProps/ctrlProp410.xml><?xml version="1.0" encoding="utf-8"?>
<formControlPr xmlns="http://schemas.microsoft.com/office/spreadsheetml/2009/9/main" objectType="CheckBox" fmlaLink="$A$245" lockText="1" noThreeD="1"/>
</file>

<file path=xl/ctrlProps/ctrlProp411.xml><?xml version="1.0" encoding="utf-8"?>
<formControlPr xmlns="http://schemas.microsoft.com/office/spreadsheetml/2009/9/main" objectType="CheckBox" fmlaLink="$A$246" lockText="1" noThreeD="1"/>
</file>

<file path=xl/ctrlProps/ctrlProp412.xml><?xml version="1.0" encoding="utf-8"?>
<formControlPr xmlns="http://schemas.microsoft.com/office/spreadsheetml/2009/9/main" objectType="CheckBox" fmlaLink="$A$178" lockText="1" noThreeD="1"/>
</file>

<file path=xl/ctrlProps/ctrlProp413.xml><?xml version="1.0" encoding="utf-8"?>
<formControlPr xmlns="http://schemas.microsoft.com/office/spreadsheetml/2009/9/main" objectType="CheckBox" fmlaLink="$A$188" lockText="1" noThreeD="1"/>
</file>

<file path=xl/ctrlProps/ctrlProp414.xml><?xml version="1.0" encoding="utf-8"?>
<formControlPr xmlns="http://schemas.microsoft.com/office/spreadsheetml/2009/9/main" objectType="CheckBox" fmlaLink="$A$198" lockText="1" noThreeD="1"/>
</file>

<file path=xl/ctrlProps/ctrlProp415.xml><?xml version="1.0" encoding="utf-8"?>
<formControlPr xmlns="http://schemas.microsoft.com/office/spreadsheetml/2009/9/main" objectType="CheckBox" fmlaLink="$A$208" lockText="1" noThreeD="1"/>
</file>

<file path=xl/ctrlProps/ctrlProp416.xml><?xml version="1.0" encoding="utf-8"?>
<formControlPr xmlns="http://schemas.microsoft.com/office/spreadsheetml/2009/9/main" objectType="CheckBox" fmlaLink="$A$218" lockText="1" noThreeD="1"/>
</file>

<file path=xl/ctrlProps/ctrlProp417.xml><?xml version="1.0" encoding="utf-8"?>
<formControlPr xmlns="http://schemas.microsoft.com/office/spreadsheetml/2009/9/main" objectType="CheckBox" fmlaLink="$A$228" lockText="1" noThreeD="1"/>
</file>

<file path=xl/ctrlProps/ctrlProp418.xml><?xml version="1.0" encoding="utf-8"?>
<formControlPr xmlns="http://schemas.microsoft.com/office/spreadsheetml/2009/9/main" objectType="CheckBox" fmlaLink="$A$238" lockText="1" noThreeD="1"/>
</file>

<file path=xl/ctrlProps/ctrlProp42.xml><?xml version="1.0" encoding="utf-8"?>
<formControlPr xmlns="http://schemas.microsoft.com/office/spreadsheetml/2009/9/main" objectType="Drop" dropLines="6" dropStyle="combo" dx="22" fmlaLink="#REF!" fmlaRange="$B$249:$B$256" noThreeD="1" sel="0" val="0"/>
</file>

<file path=xl/ctrlProps/ctrlProp43.xml><?xml version="1.0" encoding="utf-8"?>
<formControlPr xmlns="http://schemas.microsoft.com/office/spreadsheetml/2009/9/main" objectType="CheckBox" fmlaLink="#REF!" lockText="1" noThreeD="1"/>
</file>

<file path=xl/ctrlProps/ctrlProp44.xml><?xml version="1.0" encoding="utf-8"?>
<formControlPr xmlns="http://schemas.microsoft.com/office/spreadsheetml/2009/9/main" objectType="CheckBox" fmlaLink="#REF!" lockText="1" noThreeD="1"/>
</file>

<file path=xl/ctrlProps/ctrlProp45.xml><?xml version="1.0" encoding="utf-8"?>
<formControlPr xmlns="http://schemas.microsoft.com/office/spreadsheetml/2009/9/main" objectType="CheckBox" fmlaLink="$A$13" lockText="1" noThreeD="1"/>
</file>

<file path=xl/ctrlProps/ctrlProp46.xml><?xml version="1.0" encoding="utf-8"?>
<formControlPr xmlns="http://schemas.microsoft.com/office/spreadsheetml/2009/9/main" objectType="CheckBox" fmlaLink="$A$17" lockText="1" noThreeD="1"/>
</file>

<file path=xl/ctrlProps/ctrlProp47.xml><?xml version="1.0" encoding="utf-8"?>
<formControlPr xmlns="http://schemas.microsoft.com/office/spreadsheetml/2009/9/main" objectType="CheckBox" checked="Checked" fmlaLink="$A$18" lockText="1" noThreeD="1"/>
</file>

<file path=xl/ctrlProps/ctrlProp48.xml><?xml version="1.0" encoding="utf-8"?>
<formControlPr xmlns="http://schemas.microsoft.com/office/spreadsheetml/2009/9/main" objectType="Drop" dropLines="4" dropStyle="combo" dx="22" fmlaLink="$A$21" fmlaRange="$B$249:$B$252" noThreeD="1" sel="1" val="0"/>
</file>

<file path=xl/ctrlProps/ctrlProp49.xml><?xml version="1.0" encoding="utf-8"?>
<formControlPr xmlns="http://schemas.microsoft.com/office/spreadsheetml/2009/9/main" objectType="CheckBox" fmlaLink="$A$22" lockText="1" noThreeD="1"/>
</file>

<file path=xl/ctrlProps/ctrlProp5.xml><?xml version="1.0" encoding="utf-8"?>
<formControlPr xmlns="http://schemas.microsoft.com/office/spreadsheetml/2009/9/main" objectType="Drop" dropLines="5" dropStyle="combo" dx="22" fmlaLink="$A$171" fmlaRange="$B$274:$B$278" noThreeD="1" sel="1" val="0"/>
</file>

<file path=xl/ctrlProps/ctrlProp50.xml><?xml version="1.0" encoding="utf-8"?>
<formControlPr xmlns="http://schemas.microsoft.com/office/spreadsheetml/2009/9/main" objectType="Drop" dropStyle="combo" dx="22" fmlaLink="$A$25" fmlaRange="$B$257:$B$264" noThreeD="1" sel="2" val="0"/>
</file>

<file path=xl/ctrlProps/ctrlProp51.xml><?xml version="1.0" encoding="utf-8"?>
<formControlPr xmlns="http://schemas.microsoft.com/office/spreadsheetml/2009/9/main" objectType="CheckBox" fmlaLink="$A$23" lockText="1" noThreeD="1"/>
</file>

<file path=xl/ctrlProps/ctrlProp52.xml><?xml version="1.0" encoding="utf-8"?>
<formControlPr xmlns="http://schemas.microsoft.com/office/spreadsheetml/2009/9/main" objectType="Drop" dropLines="4" dropStyle="combo" dx="22" fmlaLink="$A$24" fmlaRange="$B$253:$B$256" noThreeD="1" sel="1" val="0"/>
</file>

<file path=xl/ctrlProps/ctrlProp53.xml><?xml version="1.0" encoding="utf-8"?>
<formControlPr xmlns="http://schemas.microsoft.com/office/spreadsheetml/2009/9/main" objectType="Drop" dropLines="4" dropStyle="combo" dx="22" fmlaLink="$A$14" fmlaRange="$B$253:$B$256" noThreeD="1" sel="4" val="0"/>
</file>

<file path=xl/ctrlProps/ctrlProp54.xml><?xml version="1.0" encoding="utf-8"?>
<formControlPr xmlns="http://schemas.microsoft.com/office/spreadsheetml/2009/9/main" objectType="CheckBox" fmlaLink="$A$27" lockText="1" noThreeD="1"/>
</file>

<file path=xl/ctrlProps/ctrlProp55.xml><?xml version="1.0" encoding="utf-8"?>
<formControlPr xmlns="http://schemas.microsoft.com/office/spreadsheetml/2009/9/main" objectType="CheckBox" checked="Checked" fmlaLink="$A$28" lockText="1" noThreeD="1"/>
</file>

<file path=xl/ctrlProps/ctrlProp56.xml><?xml version="1.0" encoding="utf-8"?>
<formControlPr xmlns="http://schemas.microsoft.com/office/spreadsheetml/2009/9/main" objectType="Drop" dropLines="4" dropStyle="combo" dx="22" fmlaLink="$A$31" fmlaRange="$B$249:$B$252" noThreeD="1" sel="1" val="0"/>
</file>

<file path=xl/ctrlProps/ctrlProp57.xml><?xml version="1.0" encoding="utf-8"?>
<formControlPr xmlns="http://schemas.microsoft.com/office/spreadsheetml/2009/9/main" objectType="CheckBox" fmlaLink="$A$32" lockText="1" noThreeD="1"/>
</file>

<file path=xl/ctrlProps/ctrlProp58.xml><?xml version="1.0" encoding="utf-8"?>
<formControlPr xmlns="http://schemas.microsoft.com/office/spreadsheetml/2009/9/main" objectType="Drop" dropStyle="combo" dx="22" fmlaLink="$A$35" fmlaRange="$B$257:$B$264" noThreeD="1" sel="3" val="0"/>
</file>

<file path=xl/ctrlProps/ctrlProp59.xml><?xml version="1.0" encoding="utf-8"?>
<formControlPr xmlns="http://schemas.microsoft.com/office/spreadsheetml/2009/9/main" objectType="CheckBox" fmlaLink="$A$33" lockText="1" noThreeD="1"/>
</file>

<file path=xl/ctrlProps/ctrlProp6.xml><?xml version="1.0" encoding="utf-8"?>
<formControlPr xmlns="http://schemas.microsoft.com/office/spreadsheetml/2009/9/main" objectType="Drop" dropLines="9" dropStyle="combo" dx="22" fmlaLink="$A$170" fmlaRange="$B$265:$B$273" noThreeD="1" sel="6" val="0"/>
</file>

<file path=xl/ctrlProps/ctrlProp60.xml><?xml version="1.0" encoding="utf-8"?>
<formControlPr xmlns="http://schemas.microsoft.com/office/spreadsheetml/2009/9/main" objectType="Drop" dropLines="4" dropStyle="combo" dx="22" fmlaLink="$A$34" fmlaRange="$B$253:$B$256" noThreeD="1" sel="2" val="0"/>
</file>

<file path=xl/ctrlProps/ctrlProp61.xml><?xml version="1.0" encoding="utf-8"?>
<formControlPr xmlns="http://schemas.microsoft.com/office/spreadsheetml/2009/9/main" objectType="CheckBox" fmlaLink="$A$37" lockText="1" noThreeD="1"/>
</file>

<file path=xl/ctrlProps/ctrlProp62.xml><?xml version="1.0" encoding="utf-8"?>
<formControlPr xmlns="http://schemas.microsoft.com/office/spreadsheetml/2009/9/main" objectType="CheckBox" checked="Checked" fmlaLink="$A$38" lockText="1" noThreeD="1"/>
</file>

<file path=xl/ctrlProps/ctrlProp63.xml><?xml version="1.0" encoding="utf-8"?>
<formControlPr xmlns="http://schemas.microsoft.com/office/spreadsheetml/2009/9/main" objectType="Drop" dropLines="4" dropStyle="combo" dx="22" fmlaLink="$A$41" fmlaRange="$B$249:$B$252" noThreeD="1" sel="1" val="0"/>
</file>

<file path=xl/ctrlProps/ctrlProp64.xml><?xml version="1.0" encoding="utf-8"?>
<formControlPr xmlns="http://schemas.microsoft.com/office/spreadsheetml/2009/9/main" objectType="CheckBox" fmlaLink="$A$42" lockText="1" noThreeD="1"/>
</file>

<file path=xl/ctrlProps/ctrlProp65.xml><?xml version="1.0" encoding="utf-8"?>
<formControlPr xmlns="http://schemas.microsoft.com/office/spreadsheetml/2009/9/main" objectType="Drop" dropStyle="combo" dx="22" fmlaLink="$A$45" fmlaRange="$B$257:$B$264" noThreeD="1" sel="4" val="0"/>
</file>

<file path=xl/ctrlProps/ctrlProp66.xml><?xml version="1.0" encoding="utf-8"?>
<formControlPr xmlns="http://schemas.microsoft.com/office/spreadsheetml/2009/9/main" objectType="CheckBox" fmlaLink="$A$43" lockText="1" noThreeD="1"/>
</file>

<file path=xl/ctrlProps/ctrlProp67.xml><?xml version="1.0" encoding="utf-8"?>
<formControlPr xmlns="http://schemas.microsoft.com/office/spreadsheetml/2009/9/main" objectType="Drop" dropLines="4" dropStyle="combo" dx="22" fmlaLink="$A$44" fmlaRange="$B$253:$B$256" noThreeD="1" sel="1" val="0"/>
</file>

<file path=xl/ctrlProps/ctrlProp68.xml><?xml version="1.0" encoding="utf-8"?>
<formControlPr xmlns="http://schemas.microsoft.com/office/spreadsheetml/2009/9/main" objectType="CheckBox" fmlaLink="$A$47" lockText="1" noThreeD="1"/>
</file>

<file path=xl/ctrlProps/ctrlProp69.xml><?xml version="1.0" encoding="utf-8"?>
<formControlPr xmlns="http://schemas.microsoft.com/office/spreadsheetml/2009/9/main" objectType="CheckBox" checked="Checked" fmlaLink="$A$48" lockText="1" noThreeD="1"/>
</file>

<file path=xl/ctrlProps/ctrlProp7.xml><?xml version="1.0" encoding="utf-8"?>
<formControlPr xmlns="http://schemas.microsoft.com/office/spreadsheetml/2009/9/main" objectType="CheckBox" checked="Checked" fmlaLink="$A$3" lockText="1" noThreeD="1"/>
</file>

<file path=xl/ctrlProps/ctrlProp70.xml><?xml version="1.0" encoding="utf-8"?>
<formControlPr xmlns="http://schemas.microsoft.com/office/spreadsheetml/2009/9/main" objectType="Drop" dropLines="4" dropStyle="combo" dx="22" fmlaLink="$A$51" fmlaRange="$B$249:$B$252" noThreeD="1" sel="1" val="0"/>
</file>

<file path=xl/ctrlProps/ctrlProp71.xml><?xml version="1.0" encoding="utf-8"?>
<formControlPr xmlns="http://schemas.microsoft.com/office/spreadsheetml/2009/9/main" objectType="CheckBox" fmlaLink="$A$52" lockText="1" noThreeD="1"/>
</file>

<file path=xl/ctrlProps/ctrlProp72.xml><?xml version="1.0" encoding="utf-8"?>
<formControlPr xmlns="http://schemas.microsoft.com/office/spreadsheetml/2009/9/main" objectType="Drop" dropStyle="combo" dx="22" fmlaLink="$A$55" fmlaRange="$B$257:$B$264" noThreeD="1" sel="1" val="0"/>
</file>

<file path=xl/ctrlProps/ctrlProp73.xml><?xml version="1.0" encoding="utf-8"?>
<formControlPr xmlns="http://schemas.microsoft.com/office/spreadsheetml/2009/9/main" objectType="CheckBox" fmlaLink="$A$53" lockText="1" noThreeD="1"/>
</file>

<file path=xl/ctrlProps/ctrlProp74.xml><?xml version="1.0" encoding="utf-8"?>
<formControlPr xmlns="http://schemas.microsoft.com/office/spreadsheetml/2009/9/main" objectType="Drop" dropLines="4" dropStyle="combo" dx="22" fmlaLink="$A$54" fmlaRange="$B$253:$B$256" noThreeD="1" sel="1" val="0"/>
</file>

<file path=xl/ctrlProps/ctrlProp75.xml><?xml version="1.0" encoding="utf-8"?>
<formControlPr xmlns="http://schemas.microsoft.com/office/spreadsheetml/2009/9/main" objectType="CheckBox" fmlaLink="$A$57" lockText="1" noThreeD="1"/>
</file>

<file path=xl/ctrlProps/ctrlProp76.xml><?xml version="1.0" encoding="utf-8"?>
<formControlPr xmlns="http://schemas.microsoft.com/office/spreadsheetml/2009/9/main" objectType="CheckBox" checked="Checked" fmlaLink="$A$58" lockText="1" noThreeD="1"/>
</file>

<file path=xl/ctrlProps/ctrlProp77.xml><?xml version="1.0" encoding="utf-8"?>
<formControlPr xmlns="http://schemas.microsoft.com/office/spreadsheetml/2009/9/main" objectType="Drop" dropLines="4" dropStyle="combo" dx="22" fmlaLink="$A$61" fmlaRange="$B$249:$B$252" noThreeD="1" sel="1" val="0"/>
</file>

<file path=xl/ctrlProps/ctrlProp78.xml><?xml version="1.0" encoding="utf-8"?>
<formControlPr xmlns="http://schemas.microsoft.com/office/spreadsheetml/2009/9/main" objectType="CheckBox" fmlaLink="$A$62" lockText="1" noThreeD="1"/>
</file>

<file path=xl/ctrlProps/ctrlProp79.xml><?xml version="1.0" encoding="utf-8"?>
<formControlPr xmlns="http://schemas.microsoft.com/office/spreadsheetml/2009/9/main" objectType="Drop" dropStyle="combo" dx="22" fmlaLink="$A65" fmlaRange="$B$257:$B$264" noThreeD="1" sel="8" val="0"/>
</file>

<file path=xl/ctrlProps/ctrlProp8.xml><?xml version="1.0" encoding="utf-8"?>
<formControlPr xmlns="http://schemas.microsoft.com/office/spreadsheetml/2009/9/main" objectType="CheckBox" checked="Checked" fmlaLink="$A$4" lockText="1" noThreeD="1"/>
</file>

<file path=xl/ctrlProps/ctrlProp80.xml><?xml version="1.0" encoding="utf-8"?>
<formControlPr xmlns="http://schemas.microsoft.com/office/spreadsheetml/2009/9/main" objectType="CheckBox" fmlaLink="$A$63" lockText="1" noThreeD="1"/>
</file>

<file path=xl/ctrlProps/ctrlProp81.xml><?xml version="1.0" encoding="utf-8"?>
<formControlPr xmlns="http://schemas.microsoft.com/office/spreadsheetml/2009/9/main" objectType="Drop" dropLines="4" dropStyle="combo" dx="22" fmlaLink="$A$64" fmlaRange="$B$253:$B$256" noThreeD="1" sel="2" val="0"/>
</file>

<file path=xl/ctrlProps/ctrlProp82.xml><?xml version="1.0" encoding="utf-8"?>
<formControlPr xmlns="http://schemas.microsoft.com/office/spreadsheetml/2009/9/main" objectType="CheckBox" fmlaLink="$A$67" lockText="1" noThreeD="1"/>
</file>

<file path=xl/ctrlProps/ctrlProp83.xml><?xml version="1.0" encoding="utf-8"?>
<formControlPr xmlns="http://schemas.microsoft.com/office/spreadsheetml/2009/9/main" objectType="CheckBox" checked="Checked" fmlaLink="$A$68" lockText="1" noThreeD="1"/>
</file>

<file path=xl/ctrlProps/ctrlProp84.xml><?xml version="1.0" encoding="utf-8"?>
<formControlPr xmlns="http://schemas.microsoft.com/office/spreadsheetml/2009/9/main" objectType="Drop" dropLines="4" dropStyle="combo" dx="22" fmlaLink="$A$71" fmlaRange="$B$249:$B$252" noThreeD="1" sel="1" val="0"/>
</file>

<file path=xl/ctrlProps/ctrlProp85.xml><?xml version="1.0" encoding="utf-8"?>
<formControlPr xmlns="http://schemas.microsoft.com/office/spreadsheetml/2009/9/main" objectType="CheckBox" fmlaLink="$A$72" lockText="1" noThreeD="1"/>
</file>

<file path=xl/ctrlProps/ctrlProp86.xml><?xml version="1.0" encoding="utf-8"?>
<formControlPr xmlns="http://schemas.microsoft.com/office/spreadsheetml/2009/9/main" objectType="Drop" dropStyle="combo" dx="22" fmlaLink="$A$75" fmlaRange="$B$257:$B$264" noThreeD="1" sel="1" val="0"/>
</file>

<file path=xl/ctrlProps/ctrlProp87.xml><?xml version="1.0" encoding="utf-8"?>
<formControlPr xmlns="http://schemas.microsoft.com/office/spreadsheetml/2009/9/main" objectType="CheckBox" fmlaLink="$A$73" lockText="1" noThreeD="1"/>
</file>

<file path=xl/ctrlProps/ctrlProp88.xml><?xml version="1.0" encoding="utf-8"?>
<formControlPr xmlns="http://schemas.microsoft.com/office/spreadsheetml/2009/9/main" objectType="Drop" dropLines="4" dropStyle="combo" dx="22" fmlaLink="$A$74" fmlaRange="$B$253:$B$256" noThreeD="1" sel="1" val="0"/>
</file>

<file path=xl/ctrlProps/ctrlProp89.xml><?xml version="1.0" encoding="utf-8"?>
<formControlPr xmlns="http://schemas.microsoft.com/office/spreadsheetml/2009/9/main" objectType="CheckBox" fmlaLink="$A$77" lockText="1" noThreeD="1"/>
</file>

<file path=xl/ctrlProps/ctrlProp9.xml><?xml version="1.0" encoding="utf-8"?>
<formControlPr xmlns="http://schemas.microsoft.com/office/spreadsheetml/2009/9/main" objectType="CheckBox" fmlaLink="$A$5" lockText="1" noThreeD="1"/>
</file>

<file path=xl/ctrlProps/ctrlProp90.xml><?xml version="1.0" encoding="utf-8"?>
<formControlPr xmlns="http://schemas.microsoft.com/office/spreadsheetml/2009/9/main" objectType="CheckBox" checked="Checked" fmlaLink="$A$78" lockText="1" noThreeD="1"/>
</file>

<file path=xl/ctrlProps/ctrlProp91.xml><?xml version="1.0" encoding="utf-8"?>
<formControlPr xmlns="http://schemas.microsoft.com/office/spreadsheetml/2009/9/main" objectType="Drop" dropLines="4" dropStyle="combo" dx="22" fmlaLink="$A$81" fmlaRange="$B$249:$B$252" noThreeD="1" sel="1" val="0"/>
</file>

<file path=xl/ctrlProps/ctrlProp92.xml><?xml version="1.0" encoding="utf-8"?>
<formControlPr xmlns="http://schemas.microsoft.com/office/spreadsheetml/2009/9/main" objectType="CheckBox" fmlaLink="$A$82" lockText="1" noThreeD="1"/>
</file>

<file path=xl/ctrlProps/ctrlProp93.xml><?xml version="1.0" encoding="utf-8"?>
<formControlPr xmlns="http://schemas.microsoft.com/office/spreadsheetml/2009/9/main" objectType="Drop" dropStyle="combo" dx="22" fmlaLink="$A$85" fmlaRange="$B$257:$B$264" noThreeD="1" sel="1" val="0"/>
</file>

<file path=xl/ctrlProps/ctrlProp94.xml><?xml version="1.0" encoding="utf-8"?>
<formControlPr xmlns="http://schemas.microsoft.com/office/spreadsheetml/2009/9/main" objectType="CheckBox" fmlaLink="$A$83" lockText="1" noThreeD="1"/>
</file>

<file path=xl/ctrlProps/ctrlProp95.xml><?xml version="1.0" encoding="utf-8"?>
<formControlPr xmlns="http://schemas.microsoft.com/office/spreadsheetml/2009/9/main" objectType="Drop" dropLines="4" dropStyle="combo" dx="22" fmlaLink="$A$84" fmlaRange="$B$253:$B$256" noThreeD="1" sel="1" val="0"/>
</file>

<file path=xl/ctrlProps/ctrlProp96.xml><?xml version="1.0" encoding="utf-8"?>
<formControlPr xmlns="http://schemas.microsoft.com/office/spreadsheetml/2009/9/main" objectType="CheckBox" fmlaLink="$A$87" lockText="1" noThreeD="1"/>
</file>

<file path=xl/ctrlProps/ctrlProp97.xml><?xml version="1.0" encoding="utf-8"?>
<formControlPr xmlns="http://schemas.microsoft.com/office/spreadsheetml/2009/9/main" objectType="CheckBox" checked="Checked" fmlaLink="$A$88" lockText="1" noThreeD="1"/>
</file>

<file path=xl/ctrlProps/ctrlProp98.xml><?xml version="1.0" encoding="utf-8"?>
<formControlPr xmlns="http://schemas.microsoft.com/office/spreadsheetml/2009/9/main" objectType="Drop" dropLines="4" dropStyle="combo" dx="22" fmlaLink="$A$91" fmlaRange="$B$249:$B$252" noThreeD="1" sel="2" val="0"/>
</file>

<file path=xl/ctrlProps/ctrlProp99.xml><?xml version="1.0" encoding="utf-8"?>
<formControlPr xmlns="http://schemas.microsoft.com/office/spreadsheetml/2009/9/main" objectType="CheckBox" fmlaLink="$A$92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183</xdr:row>
          <xdr:rowOff>19050</xdr:rowOff>
        </xdr:from>
        <xdr:to>
          <xdr:col>2</xdr:col>
          <xdr:colOff>1276350</xdr:colOff>
          <xdr:row>183</xdr:row>
          <xdr:rowOff>180975</xdr:rowOff>
        </xdr:to>
        <xdr:sp macro="" textlink="">
          <xdr:nvSpPr>
            <xdr:cNvPr id="2547" name="Drop Down 499" hidden="1">
              <a:extLst>
                <a:ext uri="{63B3BB69-23CF-44E3-9099-C40C66FF867C}">
                  <a14:compatExt spid="_x0000_s2547"/>
                </a:ext>
                <a:ext uri="{FF2B5EF4-FFF2-40B4-BE49-F238E27FC236}">
                  <a16:creationId xmlns:a16="http://schemas.microsoft.com/office/drawing/2014/main" id="{00000000-0008-0000-0000-0000F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180</xdr:row>
          <xdr:rowOff>19050</xdr:rowOff>
        </xdr:from>
        <xdr:to>
          <xdr:col>2</xdr:col>
          <xdr:colOff>1266825</xdr:colOff>
          <xdr:row>180</xdr:row>
          <xdr:rowOff>180975</xdr:rowOff>
        </xdr:to>
        <xdr:sp macro="" textlink="">
          <xdr:nvSpPr>
            <xdr:cNvPr id="2542" name="Drop Down 494" hidden="1">
              <a:extLst>
                <a:ext uri="{63B3BB69-23CF-44E3-9099-C40C66FF867C}">
                  <a14:compatExt spid="_x0000_s2542"/>
                </a:ext>
                <a:ext uri="{FF2B5EF4-FFF2-40B4-BE49-F238E27FC236}">
                  <a16:creationId xmlns:a16="http://schemas.microsoft.com/office/drawing/2014/main" id="{00000000-0008-0000-0000-0000E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179</xdr:row>
          <xdr:rowOff>28575</xdr:rowOff>
        </xdr:from>
        <xdr:to>
          <xdr:col>2</xdr:col>
          <xdr:colOff>1276350</xdr:colOff>
          <xdr:row>179</xdr:row>
          <xdr:rowOff>180975</xdr:rowOff>
        </xdr:to>
        <xdr:sp macro="" textlink="">
          <xdr:nvSpPr>
            <xdr:cNvPr id="2551" name="Drop Down 503" hidden="1">
              <a:extLst>
                <a:ext uri="{63B3BB69-23CF-44E3-9099-C40C66FF867C}">
                  <a14:compatExt spid="_x0000_s2551"/>
                </a:ext>
                <a:ext uri="{FF2B5EF4-FFF2-40B4-BE49-F238E27FC236}">
                  <a16:creationId xmlns:a16="http://schemas.microsoft.com/office/drawing/2014/main" id="{00000000-0008-0000-0000-0000F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173</xdr:row>
          <xdr:rowOff>19050</xdr:rowOff>
        </xdr:from>
        <xdr:to>
          <xdr:col>2</xdr:col>
          <xdr:colOff>1247775</xdr:colOff>
          <xdr:row>173</xdr:row>
          <xdr:rowOff>180975</xdr:rowOff>
        </xdr:to>
        <xdr:sp macro="" textlink="">
          <xdr:nvSpPr>
            <xdr:cNvPr id="2556" name="Drop Down 508" hidden="1">
              <a:extLst>
                <a:ext uri="{63B3BB69-23CF-44E3-9099-C40C66FF867C}">
                  <a14:compatExt spid="_x0000_s2556"/>
                </a:ext>
                <a:ext uri="{FF2B5EF4-FFF2-40B4-BE49-F238E27FC236}">
                  <a16:creationId xmlns:a16="http://schemas.microsoft.com/office/drawing/2014/main" id="{00000000-0008-0000-0000-0000F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170</xdr:row>
          <xdr:rowOff>28575</xdr:rowOff>
        </xdr:from>
        <xdr:to>
          <xdr:col>2</xdr:col>
          <xdr:colOff>1238250</xdr:colOff>
          <xdr:row>170</xdr:row>
          <xdr:rowOff>180975</xdr:rowOff>
        </xdr:to>
        <xdr:sp macro="" textlink="">
          <xdr:nvSpPr>
            <xdr:cNvPr id="2553" name="Drop Down 505" hidden="1">
              <a:extLst>
                <a:ext uri="{63B3BB69-23CF-44E3-9099-C40C66FF867C}">
                  <a14:compatExt spid="_x0000_s2553"/>
                </a:ext>
                <a:ext uri="{FF2B5EF4-FFF2-40B4-BE49-F238E27FC236}">
                  <a16:creationId xmlns:a16="http://schemas.microsoft.com/office/drawing/2014/main" id="{00000000-0008-0000-0000-0000F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169</xdr:row>
          <xdr:rowOff>19050</xdr:rowOff>
        </xdr:from>
        <xdr:to>
          <xdr:col>2</xdr:col>
          <xdr:colOff>1238250</xdr:colOff>
          <xdr:row>169</xdr:row>
          <xdr:rowOff>180975</xdr:rowOff>
        </xdr:to>
        <xdr:sp macro="" textlink="">
          <xdr:nvSpPr>
            <xdr:cNvPr id="2559" name="Drop Down 511" hidden="1">
              <a:extLst>
                <a:ext uri="{63B3BB69-23CF-44E3-9099-C40C66FF867C}">
                  <a14:compatExt spid="_x0000_s2559"/>
                </a:ext>
                <a:ext uri="{FF2B5EF4-FFF2-40B4-BE49-F238E27FC236}">
                  <a16:creationId xmlns:a16="http://schemas.microsoft.com/office/drawing/2014/main" id="{00000000-0008-0000-0000-0000F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26</xdr:row>
          <xdr:rowOff>9525</xdr:rowOff>
        </xdr:from>
        <xdr:to>
          <xdr:col>2</xdr:col>
          <xdr:colOff>1771650</xdr:colOff>
          <xdr:row>34</xdr:row>
          <xdr:rowOff>180975</xdr:rowOff>
        </xdr:to>
        <xdr:grpSp>
          <xdr:nvGrpSpPr>
            <xdr:cNvPr id="2" name="Gruppieren 1">
              <a:extLst>
                <a:ext uri="{FF2B5EF4-FFF2-40B4-BE49-F238E27FC236}">
                  <a16:creationId xmlns:a16="http://schemas.microsoft.com/office/drawing/2014/main" id="{1A23D115-47B1-B265-D06A-6AB693D27FE5}"/>
                </a:ext>
              </a:extLst>
            </xdr:cNvPr>
            <xdr:cNvGrpSpPr/>
          </xdr:nvGrpSpPr>
          <xdr:grpSpPr>
            <a:xfrm>
              <a:off x="2152650" y="4962525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14" name="Check Box 366" descr="Configure Region" hidden="1">
                <a:extLst>
                  <a:ext uri="{63B3BB69-23CF-44E3-9099-C40C66FF867C}">
                    <a14:compatExt spid="_x0000_s2414"/>
                  </a:ext>
                  <a:ext uri="{FF2B5EF4-FFF2-40B4-BE49-F238E27FC236}">
                    <a16:creationId xmlns:a16="http://schemas.microsoft.com/office/drawing/2014/main" id="{00000000-0008-0000-0000-00006E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15" name="Check Box 367" hidden="1">
                <a:extLst>
                  <a:ext uri="{63B3BB69-23CF-44E3-9099-C40C66FF867C}">
                    <a14:compatExt spid="_x0000_s2415"/>
                  </a:ext>
                  <a:ext uri="{FF2B5EF4-FFF2-40B4-BE49-F238E27FC236}">
                    <a16:creationId xmlns:a16="http://schemas.microsoft.com/office/drawing/2014/main" id="{00000000-0008-0000-0000-00006F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16" name="Drop Down 368" hidden="1">
                <a:extLst>
                  <a:ext uri="{63B3BB69-23CF-44E3-9099-C40C66FF867C}">
                    <a14:compatExt spid="_x0000_s2416"/>
                  </a:ext>
                  <a:ext uri="{FF2B5EF4-FFF2-40B4-BE49-F238E27FC236}">
                    <a16:creationId xmlns:a16="http://schemas.microsoft.com/office/drawing/2014/main" id="{00000000-0008-0000-0000-000070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17" name="Check Box 369" hidden="1">
                <a:extLst>
                  <a:ext uri="{63B3BB69-23CF-44E3-9099-C40C66FF867C}">
                    <a14:compatExt spid="_x0000_s2417"/>
                  </a:ext>
                  <a:ext uri="{FF2B5EF4-FFF2-40B4-BE49-F238E27FC236}">
                    <a16:creationId xmlns:a16="http://schemas.microsoft.com/office/drawing/2014/main" id="{00000000-0008-0000-0000-000071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18" name="Drop Down 370" hidden="1">
                <a:extLst>
                  <a:ext uri="{63B3BB69-23CF-44E3-9099-C40C66FF867C}">
                    <a14:compatExt spid="_x0000_s2418"/>
                  </a:ext>
                  <a:ext uri="{FF2B5EF4-FFF2-40B4-BE49-F238E27FC236}">
                    <a16:creationId xmlns:a16="http://schemas.microsoft.com/office/drawing/2014/main" id="{00000000-0008-0000-0000-000072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19" name="Check Box 371" hidden="1">
                <a:extLst>
                  <a:ext uri="{63B3BB69-23CF-44E3-9099-C40C66FF867C}">
                    <a14:compatExt spid="_x0000_s2419"/>
                  </a:ext>
                  <a:ext uri="{FF2B5EF4-FFF2-40B4-BE49-F238E27FC236}">
                    <a16:creationId xmlns:a16="http://schemas.microsoft.com/office/drawing/2014/main" id="{00000000-0008-0000-0000-000073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21" name="Drop Down 373" hidden="1">
                <a:extLst>
                  <a:ext uri="{63B3BB69-23CF-44E3-9099-C40C66FF867C}">
                    <a14:compatExt spid="_x0000_s2421"/>
                  </a:ext>
                  <a:ext uri="{FF2B5EF4-FFF2-40B4-BE49-F238E27FC236}">
                    <a16:creationId xmlns:a16="http://schemas.microsoft.com/office/drawing/2014/main" id="{00000000-0008-0000-0000-000075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</xdr:row>
          <xdr:rowOff>9525</xdr:rowOff>
        </xdr:from>
        <xdr:to>
          <xdr:col>2</xdr:col>
          <xdr:colOff>1771650</xdr:colOff>
          <xdr:row>3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MPU_S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2</xdr:col>
          <xdr:colOff>1952625</xdr:colOff>
          <xdr:row>4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</xdr:row>
          <xdr:rowOff>9525</xdr:rowOff>
        </xdr:from>
        <xdr:to>
          <xdr:col>2</xdr:col>
          <xdr:colOff>1943100</xdr:colOff>
          <xdr:row>4</xdr:row>
          <xdr:rowOff>190500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</xdr:row>
          <xdr:rowOff>9525</xdr:rowOff>
        </xdr:from>
        <xdr:to>
          <xdr:col>2</xdr:col>
          <xdr:colOff>1771650</xdr:colOff>
          <xdr:row>7</xdr:row>
          <xdr:rowOff>0</xdr:rowOff>
        </xdr:to>
        <xdr:sp macro="" textlink="">
          <xdr:nvSpPr>
            <xdr:cNvPr id="2052" name="Check Box 4" descr="Configure Region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19050</xdr:rowOff>
        </xdr:from>
        <xdr:to>
          <xdr:col>2</xdr:col>
          <xdr:colOff>1581150</xdr:colOff>
          <xdr:row>7</xdr:row>
          <xdr:rowOff>180975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9525</xdr:rowOff>
        </xdr:from>
        <xdr:to>
          <xdr:col>2</xdr:col>
          <xdr:colOff>1171575</xdr:colOff>
          <xdr:row>10</xdr:row>
          <xdr:rowOff>171450</xdr:rowOff>
        </xdr:to>
        <xdr:sp macro="" textlink="">
          <xdr:nvSpPr>
            <xdr:cNvPr id="2067" name="Drop Dow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28575</xdr:rowOff>
        </xdr:from>
        <xdr:to>
          <xdr:col>2</xdr:col>
          <xdr:colOff>1590675</xdr:colOff>
          <xdr:row>11</xdr:row>
          <xdr:rowOff>161925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14</xdr:row>
          <xdr:rowOff>28575</xdr:rowOff>
        </xdr:from>
        <xdr:to>
          <xdr:col>2</xdr:col>
          <xdr:colOff>1200150</xdr:colOff>
          <xdr:row>14</xdr:row>
          <xdr:rowOff>180975</xdr:rowOff>
        </xdr:to>
        <xdr:sp macro="" textlink="">
          <xdr:nvSpPr>
            <xdr:cNvPr id="2070" name="Drop Down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0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26" name="Drop Down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0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5" name="Drop Down 187" hidden="1">
              <a:extLst>
                <a:ext uri="{63B3BB69-23CF-44E3-9099-C40C66FF867C}">
                  <a14:compatExt spid="_x0000_s2235"/>
                </a:ext>
                <a:ext uri="{FF2B5EF4-FFF2-40B4-BE49-F238E27FC236}">
                  <a16:creationId xmlns:a16="http://schemas.microsoft.com/office/drawing/2014/main" id="{00000000-0008-0000-0000-0000B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6" name="Check Box 188" hidden="1">
              <a:extLst>
                <a:ext uri="{63B3BB69-23CF-44E3-9099-C40C66FF867C}">
                  <a14:compatExt spid="_x0000_s2236"/>
                </a:ext>
                <a:ext uri="{FF2B5EF4-FFF2-40B4-BE49-F238E27FC236}">
                  <a16:creationId xmlns:a16="http://schemas.microsoft.com/office/drawing/2014/main" id="{00000000-0008-0000-0000-0000B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7" name="Check Box 189" hidden="1">
              <a:extLst>
                <a:ext uri="{63B3BB69-23CF-44E3-9099-C40C66FF867C}">
                  <a14:compatExt spid="_x0000_s2237"/>
                </a:ext>
                <a:ext uri="{FF2B5EF4-FFF2-40B4-BE49-F238E27FC236}">
                  <a16:creationId xmlns:a16="http://schemas.microsoft.com/office/drawing/2014/main" id="{00000000-0008-0000-0000-0000B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40" name="Check Box 192" hidden="1">
              <a:extLst>
                <a:ext uri="{63B3BB69-23CF-44E3-9099-C40C66FF867C}">
                  <a14:compatExt spid="_x0000_s2240"/>
                </a:ext>
                <a:ext uri="{FF2B5EF4-FFF2-40B4-BE49-F238E27FC236}">
                  <a16:creationId xmlns:a16="http://schemas.microsoft.com/office/drawing/2014/main" id="{00000000-0008-0000-0000-0000C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41" name="Drop Down 193" hidden="1">
              <a:extLst>
                <a:ext uri="{63B3BB69-23CF-44E3-9099-C40C66FF867C}">
                  <a14:compatExt spid="_x0000_s2241"/>
                </a:ext>
                <a:ext uri="{FF2B5EF4-FFF2-40B4-BE49-F238E27FC236}">
                  <a16:creationId xmlns:a16="http://schemas.microsoft.com/office/drawing/2014/main" id="{00000000-0008-0000-0000-0000C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0" name="Drop Down 202" hidden="1">
              <a:extLst>
                <a:ext uri="{63B3BB69-23CF-44E3-9099-C40C66FF867C}">
                  <a14:compatExt spid="_x0000_s2250"/>
                </a:ext>
                <a:ext uri="{FF2B5EF4-FFF2-40B4-BE49-F238E27FC236}">
                  <a16:creationId xmlns:a16="http://schemas.microsoft.com/office/drawing/2014/main" id="{00000000-0008-0000-0000-0000C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5" name="Check Box 207" hidden="1">
              <a:extLst>
                <a:ext uri="{63B3BB69-23CF-44E3-9099-C40C66FF867C}">
                  <a14:compatExt spid="_x0000_s2255"/>
                </a:ext>
                <a:ext uri="{FF2B5EF4-FFF2-40B4-BE49-F238E27FC236}">
                  <a16:creationId xmlns:a16="http://schemas.microsoft.com/office/drawing/2014/main" id="{00000000-0008-0000-0000-0000C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6" name="Drop Down 208" hidden="1">
              <a:extLst>
                <a:ext uri="{63B3BB69-23CF-44E3-9099-C40C66FF867C}">
                  <a14:compatExt spid="_x0000_s2256"/>
                </a:ext>
                <a:ext uri="{FF2B5EF4-FFF2-40B4-BE49-F238E27FC236}">
                  <a16:creationId xmlns:a16="http://schemas.microsoft.com/office/drawing/2014/main" id="{00000000-0008-0000-0000-0000D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5" name="Drop Down 217" hidden="1">
              <a:extLst>
                <a:ext uri="{63B3BB69-23CF-44E3-9099-C40C66FF867C}">
                  <a14:compatExt spid="_x0000_s2265"/>
                </a:ext>
                <a:ext uri="{FF2B5EF4-FFF2-40B4-BE49-F238E27FC236}">
                  <a16:creationId xmlns:a16="http://schemas.microsoft.com/office/drawing/2014/main" id="{00000000-0008-0000-0000-0000D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6" name="Check Box 218" hidden="1">
              <a:extLst>
                <a:ext uri="{63B3BB69-23CF-44E3-9099-C40C66FF867C}">
                  <a14:compatExt spid="_x0000_s2266"/>
                </a:ext>
                <a:ext uri="{FF2B5EF4-FFF2-40B4-BE49-F238E27FC236}">
                  <a16:creationId xmlns:a16="http://schemas.microsoft.com/office/drawing/2014/main" id="{00000000-0008-0000-0000-0000D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7" name="Check Box 219" hidden="1">
              <a:extLst>
                <a:ext uri="{63B3BB69-23CF-44E3-9099-C40C66FF867C}">
                  <a14:compatExt spid="_x0000_s2267"/>
                </a:ext>
                <a:ext uri="{FF2B5EF4-FFF2-40B4-BE49-F238E27FC236}">
                  <a16:creationId xmlns:a16="http://schemas.microsoft.com/office/drawing/2014/main" id="{00000000-0008-0000-0000-0000D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70" name="Check Box 222" hidden="1">
              <a:extLst>
                <a:ext uri="{63B3BB69-23CF-44E3-9099-C40C66FF867C}">
                  <a14:compatExt spid="_x0000_s2270"/>
                </a:ext>
                <a:ext uri="{FF2B5EF4-FFF2-40B4-BE49-F238E27FC236}">
                  <a16:creationId xmlns:a16="http://schemas.microsoft.com/office/drawing/2014/main" id="{00000000-0008-0000-0000-0000D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71" name="Drop Down 223" hidden="1">
              <a:extLst>
                <a:ext uri="{63B3BB69-23CF-44E3-9099-C40C66FF867C}">
                  <a14:compatExt spid="_x0000_s2271"/>
                </a:ext>
                <a:ext uri="{FF2B5EF4-FFF2-40B4-BE49-F238E27FC236}">
                  <a16:creationId xmlns:a16="http://schemas.microsoft.com/office/drawing/2014/main" id="{00000000-0008-0000-0000-0000D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0" name="Drop Down 232" hidden="1">
              <a:extLst>
                <a:ext uri="{63B3BB69-23CF-44E3-9099-C40C66FF867C}">
                  <a14:compatExt spid="_x0000_s2280"/>
                </a:ext>
                <a:ext uri="{FF2B5EF4-FFF2-40B4-BE49-F238E27FC236}">
                  <a16:creationId xmlns:a16="http://schemas.microsoft.com/office/drawing/2014/main" id="{00000000-0008-0000-0000-0000E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6" name="Drop Down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5" name="Drop Down 247" hidden="1">
              <a:extLst>
                <a:ext uri="{63B3BB69-23CF-44E3-9099-C40C66FF867C}">
                  <a14:compatExt spid="_x0000_s2295"/>
                </a:ext>
                <a:ext uri="{FF2B5EF4-FFF2-40B4-BE49-F238E27FC236}">
                  <a16:creationId xmlns:a16="http://schemas.microsoft.com/office/drawing/2014/main" id="{00000000-0008-0000-0000-0000F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6" name="Check Box 248" hidden="1">
              <a:extLst>
                <a:ext uri="{63B3BB69-23CF-44E3-9099-C40C66FF867C}">
                  <a14:compatExt spid="_x0000_s2296"/>
                </a:ext>
                <a:ext uri="{FF2B5EF4-FFF2-40B4-BE49-F238E27FC236}">
                  <a16:creationId xmlns:a16="http://schemas.microsoft.com/office/drawing/2014/main" id="{00000000-0008-0000-0000-0000F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7" name="Check Box 249" hidden="1">
              <a:extLst>
                <a:ext uri="{63B3BB69-23CF-44E3-9099-C40C66FF867C}">
                  <a14:compatExt spid="_x0000_s2297"/>
                </a:ext>
                <a:ext uri="{FF2B5EF4-FFF2-40B4-BE49-F238E27FC236}">
                  <a16:creationId xmlns:a16="http://schemas.microsoft.com/office/drawing/2014/main" id="{00000000-0008-0000-0000-0000F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00" name="Check Box 252" hidden="1">
              <a:extLst>
                <a:ext uri="{63B3BB69-23CF-44E3-9099-C40C66FF867C}">
                  <a14:compatExt spid="_x0000_s2300"/>
                </a:ext>
                <a:ext uri="{FF2B5EF4-FFF2-40B4-BE49-F238E27FC236}">
                  <a16:creationId xmlns:a16="http://schemas.microsoft.com/office/drawing/2014/main" id="{00000000-0008-0000-0000-0000F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01" name="Drop Down 253" hidden="1">
              <a:extLst>
                <a:ext uri="{63B3BB69-23CF-44E3-9099-C40C66FF867C}">
                  <a14:compatExt spid="_x0000_s2301"/>
                </a:ext>
                <a:ext uri="{FF2B5EF4-FFF2-40B4-BE49-F238E27FC236}">
                  <a16:creationId xmlns:a16="http://schemas.microsoft.com/office/drawing/2014/main" id="{00000000-0008-0000-0000-0000F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0" name="Drop Down 262" hidden="1">
              <a:extLst>
                <a:ext uri="{63B3BB69-23CF-44E3-9099-C40C66FF867C}">
                  <a14:compatExt spid="_x0000_s2310"/>
                </a:ext>
                <a:ext uri="{FF2B5EF4-FFF2-40B4-BE49-F238E27FC236}">
                  <a16:creationId xmlns:a16="http://schemas.microsoft.com/office/drawing/2014/main" id="{00000000-0008-0000-0000-00000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1" name="Check Box 263" hidden="1">
              <a:extLst>
                <a:ext uri="{63B3BB69-23CF-44E3-9099-C40C66FF867C}">
                  <a14:compatExt spid="_x0000_s2311"/>
                </a:ext>
                <a:ext uri="{FF2B5EF4-FFF2-40B4-BE49-F238E27FC236}">
                  <a16:creationId xmlns:a16="http://schemas.microsoft.com/office/drawing/2014/main" id="{00000000-0008-0000-0000-00000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2" name="Check Box 264" hidden="1">
              <a:extLst>
                <a:ext uri="{63B3BB69-23CF-44E3-9099-C40C66FF867C}">
                  <a14:compatExt spid="_x0000_s2312"/>
                </a:ext>
                <a:ext uri="{FF2B5EF4-FFF2-40B4-BE49-F238E27FC236}">
                  <a16:creationId xmlns:a16="http://schemas.microsoft.com/office/drawing/2014/main" id="{00000000-0008-0000-0000-00000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28575</xdr:rowOff>
        </xdr:from>
        <xdr:to>
          <xdr:col>2</xdr:col>
          <xdr:colOff>1590675</xdr:colOff>
          <xdr:row>12</xdr:row>
          <xdr:rowOff>161925</xdr:rowOff>
        </xdr:to>
        <xdr:sp macro="" textlink="">
          <xdr:nvSpPr>
            <xdr:cNvPr id="2396" name="Check Box 348" hidden="1">
              <a:extLst>
                <a:ext uri="{63B3BB69-23CF-44E3-9099-C40C66FF867C}">
                  <a14:compatExt spid="_x0000_s2396"/>
                </a:ext>
                <a:ext uri="{FF2B5EF4-FFF2-40B4-BE49-F238E27FC236}">
                  <a16:creationId xmlns:a16="http://schemas.microsoft.com/office/drawing/2014/main" id="{00000000-0008-0000-0000-00005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PXN             v8.1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9525</xdr:rowOff>
        </xdr:from>
        <xdr:to>
          <xdr:col>2</xdr:col>
          <xdr:colOff>1771650</xdr:colOff>
          <xdr:row>17</xdr:row>
          <xdr:rowOff>0</xdr:rowOff>
        </xdr:to>
        <xdr:sp macro="" textlink="">
          <xdr:nvSpPr>
            <xdr:cNvPr id="2405" name="Check Box 357" descr="Configure Region" hidden="1">
              <a:extLst>
                <a:ext uri="{63B3BB69-23CF-44E3-9099-C40C66FF867C}">
                  <a14:compatExt spid="_x0000_s2405"/>
                </a:ext>
                <a:ext uri="{FF2B5EF4-FFF2-40B4-BE49-F238E27FC236}">
                  <a16:creationId xmlns:a16="http://schemas.microsoft.com/office/drawing/2014/main" id="{00000000-0008-0000-0000-00006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19050</xdr:rowOff>
        </xdr:from>
        <xdr:to>
          <xdr:col>2</xdr:col>
          <xdr:colOff>1581150</xdr:colOff>
          <xdr:row>17</xdr:row>
          <xdr:rowOff>180975</xdr:rowOff>
        </xdr:to>
        <xdr:sp macro="" textlink="">
          <xdr:nvSpPr>
            <xdr:cNvPr id="2406" name="Check Box 358" hidden="1">
              <a:extLst>
                <a:ext uri="{63B3BB69-23CF-44E3-9099-C40C66FF867C}">
                  <a14:compatExt spid="_x0000_s2406"/>
                </a:ext>
                <a:ext uri="{FF2B5EF4-FFF2-40B4-BE49-F238E27FC236}">
                  <a16:creationId xmlns:a16="http://schemas.microsoft.com/office/drawing/2014/main" id="{00000000-0008-0000-0000-00006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9525</xdr:rowOff>
        </xdr:from>
        <xdr:to>
          <xdr:col>2</xdr:col>
          <xdr:colOff>1171575</xdr:colOff>
          <xdr:row>20</xdr:row>
          <xdr:rowOff>171450</xdr:rowOff>
        </xdr:to>
        <xdr:sp macro="" textlink="">
          <xdr:nvSpPr>
            <xdr:cNvPr id="2407" name="Drop Down 359" hidden="1">
              <a:extLst>
                <a:ext uri="{63B3BB69-23CF-44E3-9099-C40C66FF867C}">
                  <a14:compatExt spid="_x0000_s2407"/>
                </a:ext>
                <a:ext uri="{FF2B5EF4-FFF2-40B4-BE49-F238E27FC236}">
                  <a16:creationId xmlns:a16="http://schemas.microsoft.com/office/drawing/2014/main" id="{00000000-0008-0000-0000-00006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28575</xdr:rowOff>
        </xdr:from>
        <xdr:to>
          <xdr:col>2</xdr:col>
          <xdr:colOff>1590675</xdr:colOff>
          <xdr:row>21</xdr:row>
          <xdr:rowOff>161925</xdr:rowOff>
        </xdr:to>
        <xdr:sp macro="" textlink="">
          <xdr:nvSpPr>
            <xdr:cNvPr id="2408" name="Check Box 360" hidden="1">
              <a:extLst>
                <a:ext uri="{63B3BB69-23CF-44E3-9099-C40C66FF867C}">
                  <a14:compatExt spid="_x0000_s2408"/>
                </a:ext>
                <a:ext uri="{FF2B5EF4-FFF2-40B4-BE49-F238E27FC236}">
                  <a16:creationId xmlns:a16="http://schemas.microsoft.com/office/drawing/2014/main" id="{00000000-0008-0000-0000-00006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24</xdr:row>
          <xdr:rowOff>28575</xdr:rowOff>
        </xdr:from>
        <xdr:to>
          <xdr:col>2</xdr:col>
          <xdr:colOff>1200150</xdr:colOff>
          <xdr:row>24</xdr:row>
          <xdr:rowOff>180975</xdr:rowOff>
        </xdr:to>
        <xdr:sp macro="" textlink="">
          <xdr:nvSpPr>
            <xdr:cNvPr id="2409" name="Drop Down 361" hidden="1">
              <a:extLst>
                <a:ext uri="{63B3BB69-23CF-44E3-9099-C40C66FF867C}">
                  <a14:compatExt spid="_x0000_s2409"/>
                </a:ext>
                <a:ext uri="{FF2B5EF4-FFF2-40B4-BE49-F238E27FC236}">
                  <a16:creationId xmlns:a16="http://schemas.microsoft.com/office/drawing/2014/main" id="{00000000-0008-0000-0000-00006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28575</xdr:rowOff>
        </xdr:from>
        <xdr:to>
          <xdr:col>2</xdr:col>
          <xdr:colOff>1590675</xdr:colOff>
          <xdr:row>22</xdr:row>
          <xdr:rowOff>161925</xdr:rowOff>
        </xdr:to>
        <xdr:sp macro="" textlink="">
          <xdr:nvSpPr>
            <xdr:cNvPr id="2410" name="Check Box 362" hidden="1">
              <a:extLst>
                <a:ext uri="{63B3BB69-23CF-44E3-9099-C40C66FF867C}">
                  <a14:compatExt spid="_x0000_s2410"/>
                </a:ext>
                <a:ext uri="{FF2B5EF4-FFF2-40B4-BE49-F238E27FC236}">
                  <a16:creationId xmlns:a16="http://schemas.microsoft.com/office/drawing/2014/main" id="{00000000-0008-0000-0000-00006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PXN             v8.1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28575</xdr:rowOff>
        </xdr:from>
        <xdr:to>
          <xdr:col>2</xdr:col>
          <xdr:colOff>1200150</xdr:colOff>
          <xdr:row>23</xdr:row>
          <xdr:rowOff>180975</xdr:rowOff>
        </xdr:to>
        <xdr:sp macro="" textlink="">
          <xdr:nvSpPr>
            <xdr:cNvPr id="2412" name="Drop Down 364" hidden="1">
              <a:extLst>
                <a:ext uri="{63B3BB69-23CF-44E3-9099-C40C66FF867C}">
                  <a14:compatExt spid="_x0000_s2412"/>
                </a:ext>
                <a:ext uri="{FF2B5EF4-FFF2-40B4-BE49-F238E27FC236}">
                  <a16:creationId xmlns:a16="http://schemas.microsoft.com/office/drawing/2014/main" id="{00000000-0008-0000-0000-00006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28575</xdr:rowOff>
        </xdr:from>
        <xdr:to>
          <xdr:col>2</xdr:col>
          <xdr:colOff>1200150</xdr:colOff>
          <xdr:row>13</xdr:row>
          <xdr:rowOff>180975</xdr:rowOff>
        </xdr:to>
        <xdr:sp macro="" textlink="">
          <xdr:nvSpPr>
            <xdr:cNvPr id="2413" name="Drop Down 365" hidden="1">
              <a:extLst>
                <a:ext uri="{63B3BB69-23CF-44E3-9099-C40C66FF867C}">
                  <a14:compatExt spid="_x0000_s2413"/>
                </a:ext>
                <a:ext uri="{FF2B5EF4-FFF2-40B4-BE49-F238E27FC236}">
                  <a16:creationId xmlns:a16="http://schemas.microsoft.com/office/drawing/2014/main" id="{00000000-0008-0000-0000-00006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36</xdr:row>
          <xdr:rowOff>9525</xdr:rowOff>
        </xdr:from>
        <xdr:to>
          <xdr:col>2</xdr:col>
          <xdr:colOff>1771650</xdr:colOff>
          <xdr:row>44</xdr:row>
          <xdr:rowOff>180975</xdr:rowOff>
        </xdr:to>
        <xdr:grpSp>
          <xdr:nvGrpSpPr>
            <xdr:cNvPr id="3" name="Gruppieren 2">
              <a:extLst>
                <a:ext uri="{FF2B5EF4-FFF2-40B4-BE49-F238E27FC236}">
                  <a16:creationId xmlns:a16="http://schemas.microsoft.com/office/drawing/2014/main" id="{FF0D6FBE-5F60-4CA3-90C7-EFBDC17B37F5}"/>
                </a:ext>
              </a:extLst>
            </xdr:cNvPr>
            <xdr:cNvGrpSpPr/>
          </xdr:nvGrpSpPr>
          <xdr:grpSpPr>
            <a:xfrm>
              <a:off x="2152650" y="6801583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29" name="Check Box 381" descr="Configure Region" hidden="1">
                <a:extLst>
                  <a:ext uri="{63B3BB69-23CF-44E3-9099-C40C66FF867C}">
                    <a14:compatExt spid="_x0000_s2429"/>
                  </a:ext>
                  <a:ext uri="{FF2B5EF4-FFF2-40B4-BE49-F238E27FC236}">
                    <a16:creationId xmlns:a16="http://schemas.microsoft.com/office/drawing/2014/main" id="{00000000-0008-0000-0000-00007D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30" name="Check Box 382" hidden="1">
                <a:extLst>
                  <a:ext uri="{63B3BB69-23CF-44E3-9099-C40C66FF867C}">
                    <a14:compatExt spid="_x0000_s2430"/>
                  </a:ext>
                  <a:ext uri="{FF2B5EF4-FFF2-40B4-BE49-F238E27FC236}">
                    <a16:creationId xmlns:a16="http://schemas.microsoft.com/office/drawing/2014/main" id="{00000000-0008-0000-0000-00007E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31" name="Drop Down 383" hidden="1">
                <a:extLst>
                  <a:ext uri="{63B3BB69-23CF-44E3-9099-C40C66FF867C}">
                    <a14:compatExt spid="_x0000_s2431"/>
                  </a:ext>
                  <a:ext uri="{FF2B5EF4-FFF2-40B4-BE49-F238E27FC236}">
                    <a16:creationId xmlns:a16="http://schemas.microsoft.com/office/drawing/2014/main" id="{00000000-0008-0000-0000-00007F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32" name="Check Box 384" hidden="1">
                <a:extLst>
                  <a:ext uri="{63B3BB69-23CF-44E3-9099-C40C66FF867C}">
                    <a14:compatExt spid="_x0000_s2432"/>
                  </a:ext>
                  <a:ext uri="{FF2B5EF4-FFF2-40B4-BE49-F238E27FC236}">
                    <a16:creationId xmlns:a16="http://schemas.microsoft.com/office/drawing/2014/main" id="{00000000-0008-0000-0000-000080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33" name="Drop Down 385" hidden="1">
                <a:extLst>
                  <a:ext uri="{63B3BB69-23CF-44E3-9099-C40C66FF867C}">
                    <a14:compatExt spid="_x0000_s2433"/>
                  </a:ext>
                  <a:ext uri="{FF2B5EF4-FFF2-40B4-BE49-F238E27FC236}">
                    <a16:creationId xmlns:a16="http://schemas.microsoft.com/office/drawing/2014/main" id="{00000000-0008-0000-0000-000081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34" name="Check Box 386" hidden="1">
                <a:extLst>
                  <a:ext uri="{63B3BB69-23CF-44E3-9099-C40C66FF867C}">
                    <a14:compatExt spid="_x0000_s2434"/>
                  </a:ext>
                  <a:ext uri="{FF2B5EF4-FFF2-40B4-BE49-F238E27FC236}">
                    <a16:creationId xmlns:a16="http://schemas.microsoft.com/office/drawing/2014/main" id="{00000000-0008-0000-0000-000082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35" name="Drop Down 387" hidden="1">
                <a:extLst>
                  <a:ext uri="{63B3BB69-23CF-44E3-9099-C40C66FF867C}">
                    <a14:compatExt spid="_x0000_s2435"/>
                  </a:ext>
                  <a:ext uri="{FF2B5EF4-FFF2-40B4-BE49-F238E27FC236}">
                    <a16:creationId xmlns:a16="http://schemas.microsoft.com/office/drawing/2014/main" id="{00000000-0008-0000-0000-000083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46</xdr:row>
          <xdr:rowOff>9525</xdr:rowOff>
        </xdr:from>
        <xdr:to>
          <xdr:col>2</xdr:col>
          <xdr:colOff>1771650</xdr:colOff>
          <xdr:row>54</xdr:row>
          <xdr:rowOff>180975</xdr:rowOff>
        </xdr:to>
        <xdr:grpSp>
          <xdr:nvGrpSpPr>
            <xdr:cNvPr id="4" name="Gruppieren 3">
              <a:extLst>
                <a:ext uri="{FF2B5EF4-FFF2-40B4-BE49-F238E27FC236}">
                  <a16:creationId xmlns:a16="http://schemas.microsoft.com/office/drawing/2014/main" id="{B065AA95-89C5-4FFA-BCEC-8D7EBEE5F8D6}"/>
                </a:ext>
              </a:extLst>
            </xdr:cNvPr>
            <xdr:cNvGrpSpPr/>
          </xdr:nvGrpSpPr>
          <xdr:grpSpPr>
            <a:xfrm>
              <a:off x="2152650" y="8640640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36" name="Check Box 388" descr="Configure Region" hidden="1">
                <a:extLst>
                  <a:ext uri="{63B3BB69-23CF-44E3-9099-C40C66FF867C}">
                    <a14:compatExt spid="_x0000_s2436"/>
                  </a:ext>
                  <a:ext uri="{FF2B5EF4-FFF2-40B4-BE49-F238E27FC236}">
                    <a16:creationId xmlns:a16="http://schemas.microsoft.com/office/drawing/2014/main" id="{00000000-0008-0000-0000-000084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37" name="Check Box 389" hidden="1">
                <a:extLst>
                  <a:ext uri="{63B3BB69-23CF-44E3-9099-C40C66FF867C}">
                    <a14:compatExt spid="_x0000_s2437"/>
                  </a:ext>
                  <a:ext uri="{FF2B5EF4-FFF2-40B4-BE49-F238E27FC236}">
                    <a16:creationId xmlns:a16="http://schemas.microsoft.com/office/drawing/2014/main" id="{00000000-0008-0000-0000-000085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38" name="Drop Down 390" hidden="1">
                <a:extLst>
                  <a:ext uri="{63B3BB69-23CF-44E3-9099-C40C66FF867C}">
                    <a14:compatExt spid="_x0000_s2438"/>
                  </a:ext>
                  <a:ext uri="{FF2B5EF4-FFF2-40B4-BE49-F238E27FC236}">
                    <a16:creationId xmlns:a16="http://schemas.microsoft.com/office/drawing/2014/main" id="{00000000-0008-0000-0000-000086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39" name="Check Box 391" hidden="1">
                <a:extLst>
                  <a:ext uri="{63B3BB69-23CF-44E3-9099-C40C66FF867C}">
                    <a14:compatExt spid="_x0000_s2439"/>
                  </a:ext>
                  <a:ext uri="{FF2B5EF4-FFF2-40B4-BE49-F238E27FC236}">
                    <a16:creationId xmlns:a16="http://schemas.microsoft.com/office/drawing/2014/main" id="{00000000-0008-0000-0000-000087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40" name="Drop Down 392" hidden="1">
                <a:extLst>
                  <a:ext uri="{63B3BB69-23CF-44E3-9099-C40C66FF867C}">
                    <a14:compatExt spid="_x0000_s2440"/>
                  </a:ext>
                  <a:ext uri="{FF2B5EF4-FFF2-40B4-BE49-F238E27FC236}">
                    <a16:creationId xmlns:a16="http://schemas.microsoft.com/office/drawing/2014/main" id="{00000000-0008-0000-0000-000088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41" name="Check Box 393" hidden="1">
                <a:extLst>
                  <a:ext uri="{63B3BB69-23CF-44E3-9099-C40C66FF867C}">
                    <a14:compatExt spid="_x0000_s2441"/>
                  </a:ext>
                  <a:ext uri="{FF2B5EF4-FFF2-40B4-BE49-F238E27FC236}">
                    <a16:creationId xmlns:a16="http://schemas.microsoft.com/office/drawing/2014/main" id="{00000000-0008-0000-0000-000089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42" name="Drop Down 394" hidden="1">
                <a:extLst>
                  <a:ext uri="{63B3BB69-23CF-44E3-9099-C40C66FF867C}">
                    <a14:compatExt spid="_x0000_s2442"/>
                  </a:ext>
                  <a:ext uri="{FF2B5EF4-FFF2-40B4-BE49-F238E27FC236}">
                    <a16:creationId xmlns:a16="http://schemas.microsoft.com/office/drawing/2014/main" id="{00000000-0008-0000-0000-00008A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56</xdr:row>
          <xdr:rowOff>9525</xdr:rowOff>
        </xdr:from>
        <xdr:to>
          <xdr:col>2</xdr:col>
          <xdr:colOff>1771650</xdr:colOff>
          <xdr:row>64</xdr:row>
          <xdr:rowOff>180975</xdr:rowOff>
        </xdr:to>
        <xdr:grpSp>
          <xdr:nvGrpSpPr>
            <xdr:cNvPr id="5" name="Gruppieren 4">
              <a:extLst>
                <a:ext uri="{FF2B5EF4-FFF2-40B4-BE49-F238E27FC236}">
                  <a16:creationId xmlns:a16="http://schemas.microsoft.com/office/drawing/2014/main" id="{A39E39F7-E110-4D74-A121-E1B5A0320EDD}"/>
                </a:ext>
              </a:extLst>
            </xdr:cNvPr>
            <xdr:cNvGrpSpPr/>
          </xdr:nvGrpSpPr>
          <xdr:grpSpPr>
            <a:xfrm>
              <a:off x="2152650" y="10479698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43" name="Check Box 395" descr="Configure Region" hidden="1">
                <a:extLst>
                  <a:ext uri="{63B3BB69-23CF-44E3-9099-C40C66FF867C}">
                    <a14:compatExt spid="_x0000_s2443"/>
                  </a:ext>
                  <a:ext uri="{FF2B5EF4-FFF2-40B4-BE49-F238E27FC236}">
                    <a16:creationId xmlns:a16="http://schemas.microsoft.com/office/drawing/2014/main" id="{00000000-0008-0000-0000-00008B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44" name="Check Box 396" hidden="1">
                <a:extLst>
                  <a:ext uri="{63B3BB69-23CF-44E3-9099-C40C66FF867C}">
                    <a14:compatExt spid="_x0000_s2444"/>
                  </a:ext>
                  <a:ext uri="{FF2B5EF4-FFF2-40B4-BE49-F238E27FC236}">
                    <a16:creationId xmlns:a16="http://schemas.microsoft.com/office/drawing/2014/main" id="{00000000-0008-0000-0000-00008C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45" name="Drop Down 397" hidden="1">
                <a:extLst>
                  <a:ext uri="{63B3BB69-23CF-44E3-9099-C40C66FF867C}">
                    <a14:compatExt spid="_x0000_s2445"/>
                  </a:ext>
                  <a:ext uri="{FF2B5EF4-FFF2-40B4-BE49-F238E27FC236}">
                    <a16:creationId xmlns:a16="http://schemas.microsoft.com/office/drawing/2014/main" id="{00000000-0008-0000-0000-00008D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46" name="Check Box 398" hidden="1">
                <a:extLst>
                  <a:ext uri="{63B3BB69-23CF-44E3-9099-C40C66FF867C}">
                    <a14:compatExt spid="_x0000_s2446"/>
                  </a:ext>
                  <a:ext uri="{FF2B5EF4-FFF2-40B4-BE49-F238E27FC236}">
                    <a16:creationId xmlns:a16="http://schemas.microsoft.com/office/drawing/2014/main" id="{00000000-0008-0000-0000-00008E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47" name="Drop Down 399" hidden="1">
                <a:extLst>
                  <a:ext uri="{63B3BB69-23CF-44E3-9099-C40C66FF867C}">
                    <a14:compatExt spid="_x0000_s2447"/>
                  </a:ext>
                  <a:ext uri="{FF2B5EF4-FFF2-40B4-BE49-F238E27FC236}">
                    <a16:creationId xmlns:a16="http://schemas.microsoft.com/office/drawing/2014/main" id="{00000000-0008-0000-0000-00008F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48" name="Check Box 400" hidden="1">
                <a:extLst>
                  <a:ext uri="{63B3BB69-23CF-44E3-9099-C40C66FF867C}">
                    <a14:compatExt spid="_x0000_s2448"/>
                  </a:ext>
                  <a:ext uri="{FF2B5EF4-FFF2-40B4-BE49-F238E27FC236}">
                    <a16:creationId xmlns:a16="http://schemas.microsoft.com/office/drawing/2014/main" id="{00000000-0008-0000-0000-000090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49" name="Drop Down 401" hidden="1">
                <a:extLst>
                  <a:ext uri="{63B3BB69-23CF-44E3-9099-C40C66FF867C}">
                    <a14:compatExt spid="_x0000_s2449"/>
                  </a:ext>
                  <a:ext uri="{FF2B5EF4-FFF2-40B4-BE49-F238E27FC236}">
                    <a16:creationId xmlns:a16="http://schemas.microsoft.com/office/drawing/2014/main" id="{00000000-0008-0000-0000-000091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66</xdr:row>
          <xdr:rowOff>9525</xdr:rowOff>
        </xdr:from>
        <xdr:to>
          <xdr:col>2</xdr:col>
          <xdr:colOff>1771650</xdr:colOff>
          <xdr:row>74</xdr:row>
          <xdr:rowOff>180975</xdr:rowOff>
        </xdr:to>
        <xdr:grpSp>
          <xdr:nvGrpSpPr>
            <xdr:cNvPr id="6" name="Gruppieren 5">
              <a:extLst>
                <a:ext uri="{FF2B5EF4-FFF2-40B4-BE49-F238E27FC236}">
                  <a16:creationId xmlns:a16="http://schemas.microsoft.com/office/drawing/2014/main" id="{0FF4B12A-9878-45DF-8CC9-E307C49EB891}"/>
                </a:ext>
              </a:extLst>
            </xdr:cNvPr>
            <xdr:cNvGrpSpPr/>
          </xdr:nvGrpSpPr>
          <xdr:grpSpPr>
            <a:xfrm>
              <a:off x="2152650" y="12318756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50" name="Check Box 402" descr="Configure Region" hidden="1">
                <a:extLst>
                  <a:ext uri="{63B3BB69-23CF-44E3-9099-C40C66FF867C}">
                    <a14:compatExt spid="_x0000_s2450"/>
                  </a:ext>
                  <a:ext uri="{FF2B5EF4-FFF2-40B4-BE49-F238E27FC236}">
                    <a16:creationId xmlns:a16="http://schemas.microsoft.com/office/drawing/2014/main" id="{00000000-0008-0000-0000-000092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51" name="Check Box 403" hidden="1">
                <a:extLst>
                  <a:ext uri="{63B3BB69-23CF-44E3-9099-C40C66FF867C}">
                    <a14:compatExt spid="_x0000_s2451"/>
                  </a:ext>
                  <a:ext uri="{FF2B5EF4-FFF2-40B4-BE49-F238E27FC236}">
                    <a16:creationId xmlns:a16="http://schemas.microsoft.com/office/drawing/2014/main" id="{00000000-0008-0000-0000-000093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2" name="Drop Down 404" hidden="1">
                <a:extLst>
                  <a:ext uri="{63B3BB69-23CF-44E3-9099-C40C66FF867C}">
                    <a14:compatExt spid="_x0000_s2452"/>
                  </a:ext>
                  <a:ext uri="{FF2B5EF4-FFF2-40B4-BE49-F238E27FC236}">
                    <a16:creationId xmlns:a16="http://schemas.microsoft.com/office/drawing/2014/main" id="{00000000-0008-0000-0000-000094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3" name="Check Box 405" hidden="1">
                <a:extLst>
                  <a:ext uri="{63B3BB69-23CF-44E3-9099-C40C66FF867C}">
                    <a14:compatExt spid="_x0000_s2453"/>
                  </a:ext>
                  <a:ext uri="{FF2B5EF4-FFF2-40B4-BE49-F238E27FC236}">
                    <a16:creationId xmlns:a16="http://schemas.microsoft.com/office/drawing/2014/main" id="{00000000-0008-0000-0000-000095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54" name="Drop Down 406" hidden="1">
                <a:extLst>
                  <a:ext uri="{63B3BB69-23CF-44E3-9099-C40C66FF867C}">
                    <a14:compatExt spid="_x0000_s2454"/>
                  </a:ext>
                  <a:ext uri="{FF2B5EF4-FFF2-40B4-BE49-F238E27FC236}">
                    <a16:creationId xmlns:a16="http://schemas.microsoft.com/office/drawing/2014/main" id="{00000000-0008-0000-0000-000096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5" name="Check Box 407" hidden="1">
                <a:extLst>
                  <a:ext uri="{63B3BB69-23CF-44E3-9099-C40C66FF867C}">
                    <a14:compatExt spid="_x0000_s2455"/>
                  </a:ext>
                  <a:ext uri="{FF2B5EF4-FFF2-40B4-BE49-F238E27FC236}">
                    <a16:creationId xmlns:a16="http://schemas.microsoft.com/office/drawing/2014/main" id="{00000000-0008-0000-0000-000097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56" name="Drop Down 408" hidden="1">
                <a:extLst>
                  <a:ext uri="{63B3BB69-23CF-44E3-9099-C40C66FF867C}">
                    <a14:compatExt spid="_x0000_s2456"/>
                  </a:ext>
                  <a:ext uri="{FF2B5EF4-FFF2-40B4-BE49-F238E27FC236}">
                    <a16:creationId xmlns:a16="http://schemas.microsoft.com/office/drawing/2014/main" id="{00000000-0008-0000-0000-000098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76</xdr:row>
          <xdr:rowOff>9525</xdr:rowOff>
        </xdr:from>
        <xdr:to>
          <xdr:col>2</xdr:col>
          <xdr:colOff>1771650</xdr:colOff>
          <xdr:row>84</xdr:row>
          <xdr:rowOff>180975</xdr:rowOff>
        </xdr:to>
        <xdr:grpSp>
          <xdr:nvGrpSpPr>
            <xdr:cNvPr id="7" name="Gruppieren 6">
              <a:extLst>
                <a:ext uri="{FF2B5EF4-FFF2-40B4-BE49-F238E27FC236}">
                  <a16:creationId xmlns:a16="http://schemas.microsoft.com/office/drawing/2014/main" id="{6C21E504-0C01-4787-8F3A-E2F42441D694}"/>
                </a:ext>
              </a:extLst>
            </xdr:cNvPr>
            <xdr:cNvGrpSpPr/>
          </xdr:nvGrpSpPr>
          <xdr:grpSpPr>
            <a:xfrm>
              <a:off x="2152650" y="14157813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57" name="Check Box 409" descr="Configure Region" hidden="1">
                <a:extLst>
                  <a:ext uri="{63B3BB69-23CF-44E3-9099-C40C66FF867C}">
                    <a14:compatExt spid="_x0000_s2457"/>
                  </a:ext>
                  <a:ext uri="{FF2B5EF4-FFF2-40B4-BE49-F238E27FC236}">
                    <a16:creationId xmlns:a16="http://schemas.microsoft.com/office/drawing/2014/main" id="{00000000-0008-0000-0000-000099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58" name="Check Box 410" hidden="1">
                <a:extLst>
                  <a:ext uri="{63B3BB69-23CF-44E3-9099-C40C66FF867C}">
                    <a14:compatExt spid="_x0000_s2458"/>
                  </a:ext>
                  <a:ext uri="{FF2B5EF4-FFF2-40B4-BE49-F238E27FC236}">
                    <a16:creationId xmlns:a16="http://schemas.microsoft.com/office/drawing/2014/main" id="{00000000-0008-0000-0000-00009A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59" name="Drop Down 411" hidden="1">
                <a:extLst>
                  <a:ext uri="{63B3BB69-23CF-44E3-9099-C40C66FF867C}">
                    <a14:compatExt spid="_x0000_s2459"/>
                  </a:ext>
                  <a:ext uri="{FF2B5EF4-FFF2-40B4-BE49-F238E27FC236}">
                    <a16:creationId xmlns:a16="http://schemas.microsoft.com/office/drawing/2014/main" id="{00000000-0008-0000-0000-00009B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0" name="Check Box 412" hidden="1">
                <a:extLst>
                  <a:ext uri="{63B3BB69-23CF-44E3-9099-C40C66FF867C}">
                    <a14:compatExt spid="_x0000_s2460"/>
                  </a:ext>
                  <a:ext uri="{FF2B5EF4-FFF2-40B4-BE49-F238E27FC236}">
                    <a16:creationId xmlns:a16="http://schemas.microsoft.com/office/drawing/2014/main" id="{00000000-0008-0000-0000-00009C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61" name="Drop Down 413" hidden="1">
                <a:extLst>
                  <a:ext uri="{63B3BB69-23CF-44E3-9099-C40C66FF867C}">
                    <a14:compatExt spid="_x0000_s2461"/>
                  </a:ext>
                  <a:ext uri="{FF2B5EF4-FFF2-40B4-BE49-F238E27FC236}">
                    <a16:creationId xmlns:a16="http://schemas.microsoft.com/office/drawing/2014/main" id="{00000000-0008-0000-0000-00009D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2" name="Check Box 414" hidden="1">
                <a:extLst>
                  <a:ext uri="{63B3BB69-23CF-44E3-9099-C40C66FF867C}">
                    <a14:compatExt spid="_x0000_s2462"/>
                  </a:ext>
                  <a:ext uri="{FF2B5EF4-FFF2-40B4-BE49-F238E27FC236}">
                    <a16:creationId xmlns:a16="http://schemas.microsoft.com/office/drawing/2014/main" id="{00000000-0008-0000-0000-00009E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63" name="Drop Down 415" hidden="1">
                <a:extLst>
                  <a:ext uri="{63B3BB69-23CF-44E3-9099-C40C66FF867C}">
                    <a14:compatExt spid="_x0000_s2463"/>
                  </a:ext>
                  <a:ext uri="{FF2B5EF4-FFF2-40B4-BE49-F238E27FC236}">
                    <a16:creationId xmlns:a16="http://schemas.microsoft.com/office/drawing/2014/main" id="{00000000-0008-0000-0000-00009F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86</xdr:row>
          <xdr:rowOff>9525</xdr:rowOff>
        </xdr:from>
        <xdr:to>
          <xdr:col>2</xdr:col>
          <xdr:colOff>1771650</xdr:colOff>
          <xdr:row>94</xdr:row>
          <xdr:rowOff>180975</xdr:rowOff>
        </xdr:to>
        <xdr:grpSp>
          <xdr:nvGrpSpPr>
            <xdr:cNvPr id="8" name="Gruppieren 7">
              <a:extLst>
                <a:ext uri="{FF2B5EF4-FFF2-40B4-BE49-F238E27FC236}">
                  <a16:creationId xmlns:a16="http://schemas.microsoft.com/office/drawing/2014/main" id="{BCE0D56E-F71E-4A61-B05A-7AF6007B2872}"/>
                </a:ext>
              </a:extLst>
            </xdr:cNvPr>
            <xdr:cNvGrpSpPr/>
          </xdr:nvGrpSpPr>
          <xdr:grpSpPr>
            <a:xfrm>
              <a:off x="2152650" y="15996871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64" name="Check Box 416" descr="Configure Region" hidden="1">
                <a:extLst>
                  <a:ext uri="{63B3BB69-23CF-44E3-9099-C40C66FF867C}">
                    <a14:compatExt spid="_x0000_s2464"/>
                  </a:ext>
                  <a:ext uri="{FF2B5EF4-FFF2-40B4-BE49-F238E27FC236}">
                    <a16:creationId xmlns:a16="http://schemas.microsoft.com/office/drawing/2014/main" id="{00000000-0008-0000-0000-0000A0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65" name="Check Box 417" hidden="1">
                <a:extLst>
                  <a:ext uri="{63B3BB69-23CF-44E3-9099-C40C66FF867C}">
                    <a14:compatExt spid="_x0000_s2465"/>
                  </a:ext>
                  <a:ext uri="{FF2B5EF4-FFF2-40B4-BE49-F238E27FC236}">
                    <a16:creationId xmlns:a16="http://schemas.microsoft.com/office/drawing/2014/main" id="{00000000-0008-0000-0000-0000A1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6" name="Drop Down 418" hidden="1">
                <a:extLst>
                  <a:ext uri="{63B3BB69-23CF-44E3-9099-C40C66FF867C}">
                    <a14:compatExt spid="_x0000_s2466"/>
                  </a:ext>
                  <a:ext uri="{FF2B5EF4-FFF2-40B4-BE49-F238E27FC236}">
                    <a16:creationId xmlns:a16="http://schemas.microsoft.com/office/drawing/2014/main" id="{00000000-0008-0000-0000-0000A2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7" name="Check Box 419" hidden="1">
                <a:extLst>
                  <a:ext uri="{63B3BB69-23CF-44E3-9099-C40C66FF867C}">
                    <a14:compatExt spid="_x0000_s2467"/>
                  </a:ext>
                  <a:ext uri="{FF2B5EF4-FFF2-40B4-BE49-F238E27FC236}">
                    <a16:creationId xmlns:a16="http://schemas.microsoft.com/office/drawing/2014/main" id="{00000000-0008-0000-0000-0000A3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68" name="Drop Down 420" hidden="1">
                <a:extLst>
                  <a:ext uri="{63B3BB69-23CF-44E3-9099-C40C66FF867C}">
                    <a14:compatExt spid="_x0000_s2468"/>
                  </a:ext>
                  <a:ext uri="{FF2B5EF4-FFF2-40B4-BE49-F238E27FC236}">
                    <a16:creationId xmlns:a16="http://schemas.microsoft.com/office/drawing/2014/main" id="{00000000-0008-0000-0000-0000A4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69" name="Check Box 421" hidden="1">
                <a:extLst>
                  <a:ext uri="{63B3BB69-23CF-44E3-9099-C40C66FF867C}">
                    <a14:compatExt spid="_x0000_s2469"/>
                  </a:ext>
                  <a:ext uri="{FF2B5EF4-FFF2-40B4-BE49-F238E27FC236}">
                    <a16:creationId xmlns:a16="http://schemas.microsoft.com/office/drawing/2014/main" id="{00000000-0008-0000-0000-0000A5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70" name="Drop Down 422" hidden="1">
                <a:extLst>
                  <a:ext uri="{63B3BB69-23CF-44E3-9099-C40C66FF867C}">
                    <a14:compatExt spid="_x0000_s2470"/>
                  </a:ext>
                  <a:ext uri="{FF2B5EF4-FFF2-40B4-BE49-F238E27FC236}">
                    <a16:creationId xmlns:a16="http://schemas.microsoft.com/office/drawing/2014/main" id="{00000000-0008-0000-0000-0000A6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96</xdr:row>
          <xdr:rowOff>9525</xdr:rowOff>
        </xdr:from>
        <xdr:to>
          <xdr:col>2</xdr:col>
          <xdr:colOff>1771650</xdr:colOff>
          <xdr:row>104</xdr:row>
          <xdr:rowOff>180975</xdr:rowOff>
        </xdr:to>
        <xdr:grpSp>
          <xdr:nvGrpSpPr>
            <xdr:cNvPr id="9" name="Gruppieren 8">
              <a:extLst>
                <a:ext uri="{FF2B5EF4-FFF2-40B4-BE49-F238E27FC236}">
                  <a16:creationId xmlns:a16="http://schemas.microsoft.com/office/drawing/2014/main" id="{299ED5BD-B192-45D7-BCA2-5A9EEE40D3CD}"/>
                </a:ext>
              </a:extLst>
            </xdr:cNvPr>
            <xdr:cNvGrpSpPr/>
          </xdr:nvGrpSpPr>
          <xdr:grpSpPr>
            <a:xfrm>
              <a:off x="2152650" y="17835929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71" name="Check Box 423" descr="Configure Region" hidden="1">
                <a:extLst>
                  <a:ext uri="{63B3BB69-23CF-44E3-9099-C40C66FF867C}">
                    <a14:compatExt spid="_x0000_s2471"/>
                  </a:ext>
                  <a:ext uri="{FF2B5EF4-FFF2-40B4-BE49-F238E27FC236}">
                    <a16:creationId xmlns:a16="http://schemas.microsoft.com/office/drawing/2014/main" id="{00000000-0008-0000-0000-0000A7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72" name="Check Box 424" hidden="1">
                <a:extLst>
                  <a:ext uri="{63B3BB69-23CF-44E3-9099-C40C66FF867C}">
                    <a14:compatExt spid="_x0000_s2472"/>
                  </a:ext>
                  <a:ext uri="{FF2B5EF4-FFF2-40B4-BE49-F238E27FC236}">
                    <a16:creationId xmlns:a16="http://schemas.microsoft.com/office/drawing/2014/main" id="{00000000-0008-0000-0000-0000A8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73" name="Drop Down 425" hidden="1">
                <a:extLst>
                  <a:ext uri="{63B3BB69-23CF-44E3-9099-C40C66FF867C}">
                    <a14:compatExt spid="_x0000_s2473"/>
                  </a:ext>
                  <a:ext uri="{FF2B5EF4-FFF2-40B4-BE49-F238E27FC236}">
                    <a16:creationId xmlns:a16="http://schemas.microsoft.com/office/drawing/2014/main" id="{00000000-0008-0000-0000-0000A9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74" name="Check Box 426" hidden="1">
                <a:extLst>
                  <a:ext uri="{63B3BB69-23CF-44E3-9099-C40C66FF867C}">
                    <a14:compatExt spid="_x0000_s2474"/>
                  </a:ext>
                  <a:ext uri="{FF2B5EF4-FFF2-40B4-BE49-F238E27FC236}">
                    <a16:creationId xmlns:a16="http://schemas.microsoft.com/office/drawing/2014/main" id="{00000000-0008-0000-0000-0000AA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75" name="Drop Down 427" hidden="1">
                <a:extLst>
                  <a:ext uri="{63B3BB69-23CF-44E3-9099-C40C66FF867C}">
                    <a14:compatExt spid="_x0000_s2475"/>
                  </a:ext>
                  <a:ext uri="{FF2B5EF4-FFF2-40B4-BE49-F238E27FC236}">
                    <a16:creationId xmlns:a16="http://schemas.microsoft.com/office/drawing/2014/main" id="{00000000-0008-0000-0000-0000AB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76" name="Check Box 428" hidden="1">
                <a:extLst>
                  <a:ext uri="{63B3BB69-23CF-44E3-9099-C40C66FF867C}">
                    <a14:compatExt spid="_x0000_s2476"/>
                  </a:ext>
                  <a:ext uri="{FF2B5EF4-FFF2-40B4-BE49-F238E27FC236}">
                    <a16:creationId xmlns:a16="http://schemas.microsoft.com/office/drawing/2014/main" id="{00000000-0008-0000-0000-0000AC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77" name="Drop Down 429" hidden="1">
                <a:extLst>
                  <a:ext uri="{63B3BB69-23CF-44E3-9099-C40C66FF867C}">
                    <a14:compatExt spid="_x0000_s2477"/>
                  </a:ext>
                  <a:ext uri="{FF2B5EF4-FFF2-40B4-BE49-F238E27FC236}">
                    <a16:creationId xmlns:a16="http://schemas.microsoft.com/office/drawing/2014/main" id="{00000000-0008-0000-0000-0000AD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106</xdr:row>
          <xdr:rowOff>9525</xdr:rowOff>
        </xdr:from>
        <xdr:to>
          <xdr:col>2</xdr:col>
          <xdr:colOff>1771650</xdr:colOff>
          <xdr:row>114</xdr:row>
          <xdr:rowOff>180975</xdr:rowOff>
        </xdr:to>
        <xdr:grpSp>
          <xdr:nvGrpSpPr>
            <xdr:cNvPr id="10" name="Gruppieren 9">
              <a:extLst>
                <a:ext uri="{FF2B5EF4-FFF2-40B4-BE49-F238E27FC236}">
                  <a16:creationId xmlns:a16="http://schemas.microsoft.com/office/drawing/2014/main" id="{16DD4083-6A60-42B0-995B-7ABEE430A32A}"/>
                </a:ext>
              </a:extLst>
            </xdr:cNvPr>
            <xdr:cNvGrpSpPr/>
          </xdr:nvGrpSpPr>
          <xdr:grpSpPr>
            <a:xfrm>
              <a:off x="2152650" y="19674987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78" name="Check Box 430" descr="Configure Region" hidden="1">
                <a:extLst>
                  <a:ext uri="{63B3BB69-23CF-44E3-9099-C40C66FF867C}">
                    <a14:compatExt spid="_x0000_s2478"/>
                  </a:ext>
                  <a:ext uri="{FF2B5EF4-FFF2-40B4-BE49-F238E27FC236}">
                    <a16:creationId xmlns:a16="http://schemas.microsoft.com/office/drawing/2014/main" id="{00000000-0008-0000-0000-0000AE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79" name="Check Box 431" hidden="1">
                <a:extLst>
                  <a:ext uri="{63B3BB69-23CF-44E3-9099-C40C66FF867C}">
                    <a14:compatExt spid="_x0000_s2479"/>
                  </a:ext>
                  <a:ext uri="{FF2B5EF4-FFF2-40B4-BE49-F238E27FC236}">
                    <a16:creationId xmlns:a16="http://schemas.microsoft.com/office/drawing/2014/main" id="{00000000-0008-0000-0000-0000AF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80" name="Drop Down 432" hidden="1">
                <a:extLst>
                  <a:ext uri="{63B3BB69-23CF-44E3-9099-C40C66FF867C}">
                    <a14:compatExt spid="_x0000_s2480"/>
                  </a:ext>
                  <a:ext uri="{FF2B5EF4-FFF2-40B4-BE49-F238E27FC236}">
                    <a16:creationId xmlns:a16="http://schemas.microsoft.com/office/drawing/2014/main" id="{00000000-0008-0000-0000-0000B0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81" name="Check Box 433" hidden="1">
                <a:extLst>
                  <a:ext uri="{63B3BB69-23CF-44E3-9099-C40C66FF867C}">
                    <a14:compatExt spid="_x0000_s2481"/>
                  </a:ext>
                  <a:ext uri="{FF2B5EF4-FFF2-40B4-BE49-F238E27FC236}">
                    <a16:creationId xmlns:a16="http://schemas.microsoft.com/office/drawing/2014/main" id="{00000000-0008-0000-0000-0000B1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82" name="Drop Down 434" hidden="1">
                <a:extLst>
                  <a:ext uri="{63B3BB69-23CF-44E3-9099-C40C66FF867C}">
                    <a14:compatExt spid="_x0000_s2482"/>
                  </a:ext>
                  <a:ext uri="{FF2B5EF4-FFF2-40B4-BE49-F238E27FC236}">
                    <a16:creationId xmlns:a16="http://schemas.microsoft.com/office/drawing/2014/main" id="{00000000-0008-0000-0000-0000B2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83" name="Check Box 435" hidden="1">
                <a:extLst>
                  <a:ext uri="{63B3BB69-23CF-44E3-9099-C40C66FF867C}">
                    <a14:compatExt spid="_x0000_s2483"/>
                  </a:ext>
                  <a:ext uri="{FF2B5EF4-FFF2-40B4-BE49-F238E27FC236}">
                    <a16:creationId xmlns:a16="http://schemas.microsoft.com/office/drawing/2014/main" id="{00000000-0008-0000-0000-0000B3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84" name="Drop Down 436" hidden="1">
                <a:extLst>
                  <a:ext uri="{63B3BB69-23CF-44E3-9099-C40C66FF867C}">
                    <a14:compatExt spid="_x0000_s2484"/>
                  </a:ext>
                  <a:ext uri="{FF2B5EF4-FFF2-40B4-BE49-F238E27FC236}">
                    <a16:creationId xmlns:a16="http://schemas.microsoft.com/office/drawing/2014/main" id="{00000000-0008-0000-0000-0000B4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116</xdr:row>
          <xdr:rowOff>9525</xdr:rowOff>
        </xdr:from>
        <xdr:to>
          <xdr:col>2</xdr:col>
          <xdr:colOff>1771650</xdr:colOff>
          <xdr:row>124</xdr:row>
          <xdr:rowOff>180975</xdr:rowOff>
        </xdr:to>
        <xdr:grpSp>
          <xdr:nvGrpSpPr>
            <xdr:cNvPr id="11" name="Gruppieren 10">
              <a:extLst>
                <a:ext uri="{FF2B5EF4-FFF2-40B4-BE49-F238E27FC236}">
                  <a16:creationId xmlns:a16="http://schemas.microsoft.com/office/drawing/2014/main" id="{A076C04A-DB09-4175-8325-E02BCCD4896A}"/>
                </a:ext>
              </a:extLst>
            </xdr:cNvPr>
            <xdr:cNvGrpSpPr/>
          </xdr:nvGrpSpPr>
          <xdr:grpSpPr>
            <a:xfrm>
              <a:off x="2152650" y="21514044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85" name="Check Box 437" descr="Configure Region" hidden="1">
                <a:extLst>
                  <a:ext uri="{63B3BB69-23CF-44E3-9099-C40C66FF867C}">
                    <a14:compatExt spid="_x0000_s2485"/>
                  </a:ext>
                  <a:ext uri="{FF2B5EF4-FFF2-40B4-BE49-F238E27FC236}">
                    <a16:creationId xmlns:a16="http://schemas.microsoft.com/office/drawing/2014/main" id="{00000000-0008-0000-0000-0000B5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86" name="Check Box 438" hidden="1">
                <a:extLst>
                  <a:ext uri="{63B3BB69-23CF-44E3-9099-C40C66FF867C}">
                    <a14:compatExt spid="_x0000_s2486"/>
                  </a:ext>
                  <a:ext uri="{FF2B5EF4-FFF2-40B4-BE49-F238E27FC236}">
                    <a16:creationId xmlns:a16="http://schemas.microsoft.com/office/drawing/2014/main" id="{00000000-0008-0000-0000-0000B6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87" name="Drop Down 439" hidden="1">
                <a:extLst>
                  <a:ext uri="{63B3BB69-23CF-44E3-9099-C40C66FF867C}">
                    <a14:compatExt spid="_x0000_s2487"/>
                  </a:ext>
                  <a:ext uri="{FF2B5EF4-FFF2-40B4-BE49-F238E27FC236}">
                    <a16:creationId xmlns:a16="http://schemas.microsoft.com/office/drawing/2014/main" id="{00000000-0008-0000-0000-0000B7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88" name="Check Box 440" hidden="1">
                <a:extLst>
                  <a:ext uri="{63B3BB69-23CF-44E3-9099-C40C66FF867C}">
                    <a14:compatExt spid="_x0000_s2488"/>
                  </a:ext>
                  <a:ext uri="{FF2B5EF4-FFF2-40B4-BE49-F238E27FC236}">
                    <a16:creationId xmlns:a16="http://schemas.microsoft.com/office/drawing/2014/main" id="{00000000-0008-0000-0000-0000B8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89" name="Drop Down 441" hidden="1">
                <a:extLst>
                  <a:ext uri="{63B3BB69-23CF-44E3-9099-C40C66FF867C}">
                    <a14:compatExt spid="_x0000_s2489"/>
                  </a:ext>
                  <a:ext uri="{FF2B5EF4-FFF2-40B4-BE49-F238E27FC236}">
                    <a16:creationId xmlns:a16="http://schemas.microsoft.com/office/drawing/2014/main" id="{00000000-0008-0000-0000-0000B9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90" name="Check Box 442" hidden="1">
                <a:extLst>
                  <a:ext uri="{63B3BB69-23CF-44E3-9099-C40C66FF867C}">
                    <a14:compatExt spid="_x0000_s2490"/>
                  </a:ext>
                  <a:ext uri="{FF2B5EF4-FFF2-40B4-BE49-F238E27FC236}">
                    <a16:creationId xmlns:a16="http://schemas.microsoft.com/office/drawing/2014/main" id="{00000000-0008-0000-0000-0000BA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91" name="Drop Down 443" hidden="1">
                <a:extLst>
                  <a:ext uri="{63B3BB69-23CF-44E3-9099-C40C66FF867C}">
                    <a14:compatExt spid="_x0000_s2491"/>
                  </a:ext>
                  <a:ext uri="{FF2B5EF4-FFF2-40B4-BE49-F238E27FC236}">
                    <a16:creationId xmlns:a16="http://schemas.microsoft.com/office/drawing/2014/main" id="{00000000-0008-0000-0000-0000BB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126</xdr:row>
          <xdr:rowOff>9525</xdr:rowOff>
        </xdr:from>
        <xdr:to>
          <xdr:col>2</xdr:col>
          <xdr:colOff>1771650</xdr:colOff>
          <xdr:row>134</xdr:row>
          <xdr:rowOff>180975</xdr:rowOff>
        </xdr:to>
        <xdr:grpSp>
          <xdr:nvGrpSpPr>
            <xdr:cNvPr id="12" name="Gruppieren 11">
              <a:extLst>
                <a:ext uri="{FF2B5EF4-FFF2-40B4-BE49-F238E27FC236}">
                  <a16:creationId xmlns:a16="http://schemas.microsoft.com/office/drawing/2014/main" id="{6BF40942-F079-45D6-B83B-3BAC11BD93F4}"/>
                </a:ext>
              </a:extLst>
            </xdr:cNvPr>
            <xdr:cNvGrpSpPr/>
          </xdr:nvGrpSpPr>
          <xdr:grpSpPr>
            <a:xfrm>
              <a:off x="2152650" y="23353102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92" name="Check Box 444" descr="Configure Region" hidden="1">
                <a:extLst>
                  <a:ext uri="{63B3BB69-23CF-44E3-9099-C40C66FF867C}">
                    <a14:compatExt spid="_x0000_s2492"/>
                  </a:ext>
                  <a:ext uri="{FF2B5EF4-FFF2-40B4-BE49-F238E27FC236}">
                    <a16:creationId xmlns:a16="http://schemas.microsoft.com/office/drawing/2014/main" id="{00000000-0008-0000-0000-0000BC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493" name="Check Box 445" hidden="1">
                <a:extLst>
                  <a:ext uri="{63B3BB69-23CF-44E3-9099-C40C66FF867C}">
                    <a14:compatExt spid="_x0000_s2493"/>
                  </a:ext>
                  <a:ext uri="{FF2B5EF4-FFF2-40B4-BE49-F238E27FC236}">
                    <a16:creationId xmlns:a16="http://schemas.microsoft.com/office/drawing/2014/main" id="{00000000-0008-0000-0000-0000BD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94" name="Drop Down 446" hidden="1">
                <a:extLst>
                  <a:ext uri="{63B3BB69-23CF-44E3-9099-C40C66FF867C}">
                    <a14:compatExt spid="_x0000_s2494"/>
                  </a:ext>
                  <a:ext uri="{FF2B5EF4-FFF2-40B4-BE49-F238E27FC236}">
                    <a16:creationId xmlns:a16="http://schemas.microsoft.com/office/drawing/2014/main" id="{00000000-0008-0000-0000-0000BE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95" name="Check Box 447" hidden="1">
                <a:extLst>
                  <a:ext uri="{63B3BB69-23CF-44E3-9099-C40C66FF867C}">
                    <a14:compatExt spid="_x0000_s2495"/>
                  </a:ext>
                  <a:ext uri="{FF2B5EF4-FFF2-40B4-BE49-F238E27FC236}">
                    <a16:creationId xmlns:a16="http://schemas.microsoft.com/office/drawing/2014/main" id="{00000000-0008-0000-0000-0000BF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496" name="Drop Down 448" hidden="1">
                <a:extLst>
                  <a:ext uri="{63B3BB69-23CF-44E3-9099-C40C66FF867C}">
                    <a14:compatExt spid="_x0000_s2496"/>
                  </a:ext>
                  <a:ext uri="{FF2B5EF4-FFF2-40B4-BE49-F238E27FC236}">
                    <a16:creationId xmlns:a16="http://schemas.microsoft.com/office/drawing/2014/main" id="{00000000-0008-0000-0000-0000C0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497" name="Check Box 449" hidden="1">
                <a:extLst>
                  <a:ext uri="{63B3BB69-23CF-44E3-9099-C40C66FF867C}">
                    <a14:compatExt spid="_x0000_s2497"/>
                  </a:ext>
                  <a:ext uri="{FF2B5EF4-FFF2-40B4-BE49-F238E27FC236}">
                    <a16:creationId xmlns:a16="http://schemas.microsoft.com/office/drawing/2014/main" id="{00000000-0008-0000-0000-0000C1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498" name="Drop Down 450" hidden="1">
                <a:extLst>
                  <a:ext uri="{63B3BB69-23CF-44E3-9099-C40C66FF867C}">
                    <a14:compatExt spid="_x0000_s2498"/>
                  </a:ext>
                  <a:ext uri="{FF2B5EF4-FFF2-40B4-BE49-F238E27FC236}">
                    <a16:creationId xmlns:a16="http://schemas.microsoft.com/office/drawing/2014/main" id="{00000000-0008-0000-0000-0000C2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136</xdr:row>
          <xdr:rowOff>9525</xdr:rowOff>
        </xdr:from>
        <xdr:to>
          <xdr:col>2</xdr:col>
          <xdr:colOff>1771650</xdr:colOff>
          <xdr:row>144</xdr:row>
          <xdr:rowOff>180975</xdr:rowOff>
        </xdr:to>
        <xdr:grpSp>
          <xdr:nvGrpSpPr>
            <xdr:cNvPr id="13" name="Gruppieren 12">
              <a:extLst>
                <a:ext uri="{FF2B5EF4-FFF2-40B4-BE49-F238E27FC236}">
                  <a16:creationId xmlns:a16="http://schemas.microsoft.com/office/drawing/2014/main" id="{92AD5C25-FB93-45C8-83E3-71E879D9D068}"/>
                </a:ext>
              </a:extLst>
            </xdr:cNvPr>
            <xdr:cNvGrpSpPr/>
          </xdr:nvGrpSpPr>
          <xdr:grpSpPr>
            <a:xfrm>
              <a:off x="2152650" y="25192160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499" name="Check Box 451" descr="Configure Region" hidden="1">
                <a:extLst>
                  <a:ext uri="{63B3BB69-23CF-44E3-9099-C40C66FF867C}">
                    <a14:compatExt spid="_x0000_s2499"/>
                  </a:ext>
                  <a:ext uri="{FF2B5EF4-FFF2-40B4-BE49-F238E27FC236}">
                    <a16:creationId xmlns:a16="http://schemas.microsoft.com/office/drawing/2014/main" id="{00000000-0008-0000-0000-0000C3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500" name="Check Box 452" hidden="1">
                <a:extLst>
                  <a:ext uri="{63B3BB69-23CF-44E3-9099-C40C66FF867C}">
                    <a14:compatExt spid="_x0000_s2500"/>
                  </a:ext>
                  <a:ext uri="{FF2B5EF4-FFF2-40B4-BE49-F238E27FC236}">
                    <a16:creationId xmlns:a16="http://schemas.microsoft.com/office/drawing/2014/main" id="{00000000-0008-0000-0000-0000C4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01" name="Drop Down 453" hidden="1">
                <a:extLst>
                  <a:ext uri="{63B3BB69-23CF-44E3-9099-C40C66FF867C}">
                    <a14:compatExt spid="_x0000_s2501"/>
                  </a:ext>
                  <a:ext uri="{FF2B5EF4-FFF2-40B4-BE49-F238E27FC236}">
                    <a16:creationId xmlns:a16="http://schemas.microsoft.com/office/drawing/2014/main" id="{00000000-0008-0000-0000-0000C5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02" name="Check Box 454" hidden="1">
                <a:extLst>
                  <a:ext uri="{63B3BB69-23CF-44E3-9099-C40C66FF867C}">
                    <a14:compatExt spid="_x0000_s2502"/>
                  </a:ext>
                  <a:ext uri="{FF2B5EF4-FFF2-40B4-BE49-F238E27FC236}">
                    <a16:creationId xmlns:a16="http://schemas.microsoft.com/office/drawing/2014/main" id="{00000000-0008-0000-0000-0000C6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503" name="Drop Down 455" hidden="1">
                <a:extLst>
                  <a:ext uri="{63B3BB69-23CF-44E3-9099-C40C66FF867C}">
                    <a14:compatExt spid="_x0000_s2503"/>
                  </a:ext>
                  <a:ext uri="{FF2B5EF4-FFF2-40B4-BE49-F238E27FC236}">
                    <a16:creationId xmlns:a16="http://schemas.microsoft.com/office/drawing/2014/main" id="{00000000-0008-0000-0000-0000C7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04" name="Check Box 456" hidden="1">
                <a:extLst>
                  <a:ext uri="{63B3BB69-23CF-44E3-9099-C40C66FF867C}">
                    <a14:compatExt spid="_x0000_s2504"/>
                  </a:ext>
                  <a:ext uri="{FF2B5EF4-FFF2-40B4-BE49-F238E27FC236}">
                    <a16:creationId xmlns:a16="http://schemas.microsoft.com/office/drawing/2014/main" id="{00000000-0008-0000-0000-0000C8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505" name="Drop Down 457" hidden="1">
                <a:extLst>
                  <a:ext uri="{63B3BB69-23CF-44E3-9099-C40C66FF867C}">
                    <a14:compatExt spid="_x0000_s2505"/>
                  </a:ext>
                  <a:ext uri="{FF2B5EF4-FFF2-40B4-BE49-F238E27FC236}">
                    <a16:creationId xmlns:a16="http://schemas.microsoft.com/office/drawing/2014/main" id="{00000000-0008-0000-0000-0000C9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146</xdr:row>
          <xdr:rowOff>9525</xdr:rowOff>
        </xdr:from>
        <xdr:to>
          <xdr:col>2</xdr:col>
          <xdr:colOff>1771650</xdr:colOff>
          <xdr:row>154</xdr:row>
          <xdr:rowOff>180975</xdr:rowOff>
        </xdr:to>
        <xdr:grpSp>
          <xdr:nvGrpSpPr>
            <xdr:cNvPr id="14" name="Gruppieren 13">
              <a:extLst>
                <a:ext uri="{FF2B5EF4-FFF2-40B4-BE49-F238E27FC236}">
                  <a16:creationId xmlns:a16="http://schemas.microsoft.com/office/drawing/2014/main" id="{8A0F0BBB-C52A-4835-B3BE-B3A7F697B994}"/>
                </a:ext>
              </a:extLst>
            </xdr:cNvPr>
            <xdr:cNvGrpSpPr/>
          </xdr:nvGrpSpPr>
          <xdr:grpSpPr>
            <a:xfrm>
              <a:off x="2152650" y="27031217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506" name="Check Box 458" descr="Configure Region" hidden="1">
                <a:extLst>
                  <a:ext uri="{63B3BB69-23CF-44E3-9099-C40C66FF867C}">
                    <a14:compatExt spid="_x0000_s2506"/>
                  </a:ext>
                  <a:ext uri="{FF2B5EF4-FFF2-40B4-BE49-F238E27FC236}">
                    <a16:creationId xmlns:a16="http://schemas.microsoft.com/office/drawing/2014/main" id="{00000000-0008-0000-0000-0000CA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507" name="Check Box 459" hidden="1">
                <a:extLst>
                  <a:ext uri="{63B3BB69-23CF-44E3-9099-C40C66FF867C}">
                    <a14:compatExt spid="_x0000_s2507"/>
                  </a:ext>
                  <a:ext uri="{FF2B5EF4-FFF2-40B4-BE49-F238E27FC236}">
                    <a16:creationId xmlns:a16="http://schemas.microsoft.com/office/drawing/2014/main" id="{00000000-0008-0000-0000-0000CB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08" name="Drop Down 460" hidden="1">
                <a:extLst>
                  <a:ext uri="{63B3BB69-23CF-44E3-9099-C40C66FF867C}">
                    <a14:compatExt spid="_x0000_s2508"/>
                  </a:ext>
                  <a:ext uri="{FF2B5EF4-FFF2-40B4-BE49-F238E27FC236}">
                    <a16:creationId xmlns:a16="http://schemas.microsoft.com/office/drawing/2014/main" id="{00000000-0008-0000-0000-0000CC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09" name="Check Box 461" hidden="1">
                <a:extLst>
                  <a:ext uri="{63B3BB69-23CF-44E3-9099-C40C66FF867C}">
                    <a14:compatExt spid="_x0000_s2509"/>
                  </a:ext>
                  <a:ext uri="{FF2B5EF4-FFF2-40B4-BE49-F238E27FC236}">
                    <a16:creationId xmlns:a16="http://schemas.microsoft.com/office/drawing/2014/main" id="{00000000-0008-0000-0000-0000CD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510" name="Drop Down 462" hidden="1">
                <a:extLst>
                  <a:ext uri="{63B3BB69-23CF-44E3-9099-C40C66FF867C}">
                    <a14:compatExt spid="_x0000_s2510"/>
                  </a:ext>
                  <a:ext uri="{FF2B5EF4-FFF2-40B4-BE49-F238E27FC236}">
                    <a16:creationId xmlns:a16="http://schemas.microsoft.com/office/drawing/2014/main" id="{00000000-0008-0000-0000-0000CE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11" name="Check Box 463" hidden="1">
                <a:extLst>
                  <a:ext uri="{63B3BB69-23CF-44E3-9099-C40C66FF867C}">
                    <a14:compatExt spid="_x0000_s2511"/>
                  </a:ext>
                  <a:ext uri="{FF2B5EF4-FFF2-40B4-BE49-F238E27FC236}">
                    <a16:creationId xmlns:a16="http://schemas.microsoft.com/office/drawing/2014/main" id="{00000000-0008-0000-0000-0000CF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512" name="Drop Down 464" hidden="1">
                <a:extLst>
                  <a:ext uri="{63B3BB69-23CF-44E3-9099-C40C66FF867C}">
                    <a14:compatExt spid="_x0000_s2512"/>
                  </a:ext>
                  <a:ext uri="{FF2B5EF4-FFF2-40B4-BE49-F238E27FC236}">
                    <a16:creationId xmlns:a16="http://schemas.microsoft.com/office/drawing/2014/main" id="{00000000-0008-0000-0000-0000D0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2152650</xdr:colOff>
          <xdr:row>156</xdr:row>
          <xdr:rowOff>9525</xdr:rowOff>
        </xdr:from>
        <xdr:to>
          <xdr:col>2</xdr:col>
          <xdr:colOff>1771650</xdr:colOff>
          <xdr:row>164</xdr:row>
          <xdr:rowOff>180975</xdr:rowOff>
        </xdr:to>
        <xdr:grpSp>
          <xdr:nvGrpSpPr>
            <xdr:cNvPr id="15" name="Gruppieren 14">
              <a:extLst>
                <a:ext uri="{FF2B5EF4-FFF2-40B4-BE49-F238E27FC236}">
                  <a16:creationId xmlns:a16="http://schemas.microsoft.com/office/drawing/2014/main" id="{4396D7D3-7F58-4D1A-8A96-89C83C507BA2}"/>
                </a:ext>
              </a:extLst>
            </xdr:cNvPr>
            <xdr:cNvGrpSpPr/>
          </xdr:nvGrpSpPr>
          <xdr:grpSpPr>
            <a:xfrm>
              <a:off x="2152650" y="28870275"/>
              <a:ext cx="1773115" cy="1695450"/>
              <a:chOff x="2914634" y="4942818"/>
              <a:chExt cx="1773620" cy="1695450"/>
            </a:xfrm>
          </xdr:grpSpPr>
          <xdr:sp macro="" textlink="">
            <xdr:nvSpPr>
              <xdr:cNvPr id="2513" name="Check Box 465" descr="Configure Region" hidden="1">
                <a:extLst>
                  <a:ext uri="{63B3BB69-23CF-44E3-9099-C40C66FF867C}">
                    <a14:compatExt spid="_x0000_s2513"/>
                  </a:ext>
                  <a:ext uri="{FF2B5EF4-FFF2-40B4-BE49-F238E27FC236}">
                    <a16:creationId xmlns:a16="http://schemas.microsoft.com/office/drawing/2014/main" id="{00000000-0008-0000-0000-0000D109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1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2514" name="Check Box 466" hidden="1">
                <a:extLst>
                  <a:ext uri="{63B3BB69-23CF-44E3-9099-C40C66FF867C}">
                    <a14:compatExt spid="_x0000_s2514"/>
                  </a:ext>
                  <a:ext uri="{FF2B5EF4-FFF2-40B4-BE49-F238E27FC236}">
                    <a16:creationId xmlns:a16="http://schemas.microsoft.com/office/drawing/2014/main" id="{00000000-0008-0000-0000-0000D209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15" name="Drop Down 467" hidden="1">
                <a:extLst>
                  <a:ext uri="{63B3BB69-23CF-44E3-9099-C40C66FF867C}">
                    <a14:compatExt spid="_x0000_s2515"/>
                  </a:ext>
                  <a:ext uri="{FF2B5EF4-FFF2-40B4-BE49-F238E27FC236}">
                    <a16:creationId xmlns:a16="http://schemas.microsoft.com/office/drawing/2014/main" id="{00000000-0008-0000-0000-0000D309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16" name="Check Box 468" hidden="1">
                <a:extLst>
                  <a:ext uri="{63B3BB69-23CF-44E3-9099-C40C66FF867C}">
                    <a14:compatExt spid="_x0000_s2516"/>
                  </a:ext>
                  <a:ext uri="{FF2B5EF4-FFF2-40B4-BE49-F238E27FC236}">
                    <a16:creationId xmlns:a16="http://schemas.microsoft.com/office/drawing/2014/main" id="{00000000-0008-0000-0000-0000D409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2517" name="Drop Down 469" hidden="1">
                <a:extLst>
                  <a:ext uri="{63B3BB69-23CF-44E3-9099-C40C66FF867C}">
                    <a14:compatExt spid="_x0000_s2517"/>
                  </a:ext>
                  <a:ext uri="{FF2B5EF4-FFF2-40B4-BE49-F238E27FC236}">
                    <a16:creationId xmlns:a16="http://schemas.microsoft.com/office/drawing/2014/main" id="{00000000-0008-0000-0000-0000D5090000}"/>
                  </a:ext>
                </a:extLst>
              </xdr:cNvPr>
              <xdr:cNvSpPr/>
            </xdr:nvSpPr>
            <xdr:spPr bwMode="auto">
              <a:xfrm>
                <a:off x="2914634" y="6485868"/>
                <a:ext cx="1202871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518" name="Check Box 470" hidden="1">
                <a:extLst>
                  <a:ext uri="{63B3BB69-23CF-44E3-9099-C40C66FF867C}">
                    <a14:compatExt spid="_x0000_s2518"/>
                  </a:ext>
                  <a:ext uri="{FF2B5EF4-FFF2-40B4-BE49-F238E27FC236}">
                    <a16:creationId xmlns:a16="http://schemas.microsoft.com/office/drawing/2014/main" id="{00000000-0008-0000-0000-0000D609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2519" name="Drop Down 471" hidden="1">
                <a:extLst>
                  <a:ext uri="{63B3BB69-23CF-44E3-9099-C40C66FF867C}">
                    <a14:compatExt spid="_x0000_s2519"/>
                  </a:ext>
                  <a:ext uri="{FF2B5EF4-FFF2-40B4-BE49-F238E27FC236}">
                    <a16:creationId xmlns:a16="http://schemas.microsoft.com/office/drawing/2014/main" id="{00000000-0008-0000-0000-0000D709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171</xdr:row>
          <xdr:rowOff>38100</xdr:rowOff>
        </xdr:from>
        <xdr:to>
          <xdr:col>2</xdr:col>
          <xdr:colOff>981075</xdr:colOff>
          <xdr:row>171</xdr:row>
          <xdr:rowOff>180975</xdr:rowOff>
        </xdr:to>
        <xdr:sp macro="" textlink="">
          <xdr:nvSpPr>
            <xdr:cNvPr id="2527" name="Check Box 479" hidden="1">
              <a:extLst>
                <a:ext uri="{63B3BB69-23CF-44E3-9099-C40C66FF867C}">
                  <a14:compatExt spid="_x0000_s2527"/>
                </a:ext>
                <a:ext uri="{FF2B5EF4-FFF2-40B4-BE49-F238E27FC236}">
                  <a16:creationId xmlns:a16="http://schemas.microsoft.com/office/drawing/2014/main" id="{00000000-0008-0000-0000-0000D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172</xdr:row>
          <xdr:rowOff>28575</xdr:rowOff>
        </xdr:from>
        <xdr:to>
          <xdr:col>2</xdr:col>
          <xdr:colOff>990600</xdr:colOff>
          <xdr:row>172</xdr:row>
          <xdr:rowOff>161925</xdr:rowOff>
        </xdr:to>
        <xdr:sp macro="" textlink="">
          <xdr:nvSpPr>
            <xdr:cNvPr id="2529" name="Check Box 481" hidden="1">
              <a:extLst>
                <a:ext uri="{63B3BB69-23CF-44E3-9099-C40C66FF867C}">
                  <a14:compatExt spid="_x0000_s2529"/>
                </a:ext>
                <a:ext uri="{FF2B5EF4-FFF2-40B4-BE49-F238E27FC236}">
                  <a16:creationId xmlns:a16="http://schemas.microsoft.com/office/drawing/2014/main" id="{00000000-0008-0000-0000-0000E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175</xdr:row>
          <xdr:rowOff>38100</xdr:rowOff>
        </xdr:from>
        <xdr:to>
          <xdr:col>2</xdr:col>
          <xdr:colOff>981075</xdr:colOff>
          <xdr:row>175</xdr:row>
          <xdr:rowOff>180975</xdr:rowOff>
        </xdr:to>
        <xdr:sp macro="" textlink="">
          <xdr:nvSpPr>
            <xdr:cNvPr id="2531" name="Check Box 483" hidden="1">
              <a:extLst>
                <a:ext uri="{63B3BB69-23CF-44E3-9099-C40C66FF867C}">
                  <a14:compatExt spid="_x0000_s2531"/>
                </a:ext>
                <a:ext uri="{FF2B5EF4-FFF2-40B4-BE49-F238E27FC236}">
                  <a16:creationId xmlns:a16="http://schemas.microsoft.com/office/drawing/2014/main" id="{00000000-0008-0000-0000-0000E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182</xdr:row>
          <xdr:rowOff>28575</xdr:rowOff>
        </xdr:from>
        <xdr:to>
          <xdr:col>2</xdr:col>
          <xdr:colOff>981075</xdr:colOff>
          <xdr:row>182</xdr:row>
          <xdr:rowOff>161925</xdr:rowOff>
        </xdr:to>
        <xdr:sp macro="" textlink="">
          <xdr:nvSpPr>
            <xdr:cNvPr id="2545" name="Check Box 497" hidden="1">
              <a:extLst>
                <a:ext uri="{63B3BB69-23CF-44E3-9099-C40C66FF867C}">
                  <a14:compatExt spid="_x0000_s2545"/>
                </a:ext>
                <a:ext uri="{FF2B5EF4-FFF2-40B4-BE49-F238E27FC236}">
                  <a16:creationId xmlns:a16="http://schemas.microsoft.com/office/drawing/2014/main" id="{00000000-0008-0000-0000-0000F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181</xdr:row>
          <xdr:rowOff>28575</xdr:rowOff>
        </xdr:from>
        <xdr:to>
          <xdr:col>2</xdr:col>
          <xdr:colOff>990600</xdr:colOff>
          <xdr:row>181</xdr:row>
          <xdr:rowOff>161925</xdr:rowOff>
        </xdr:to>
        <xdr:sp macro="" textlink="">
          <xdr:nvSpPr>
            <xdr:cNvPr id="2546" name="Check Box 498" hidden="1">
              <a:extLst>
                <a:ext uri="{63B3BB69-23CF-44E3-9099-C40C66FF867C}">
                  <a14:compatExt spid="_x0000_s2546"/>
                </a:ext>
                <a:ext uri="{FF2B5EF4-FFF2-40B4-BE49-F238E27FC236}">
                  <a16:creationId xmlns:a16="http://schemas.microsoft.com/office/drawing/2014/main" id="{00000000-0008-0000-0000-0000F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184</xdr:row>
          <xdr:rowOff>28575</xdr:rowOff>
        </xdr:from>
        <xdr:to>
          <xdr:col>2</xdr:col>
          <xdr:colOff>990600</xdr:colOff>
          <xdr:row>184</xdr:row>
          <xdr:rowOff>161925</xdr:rowOff>
        </xdr:to>
        <xdr:sp macro="" textlink="">
          <xdr:nvSpPr>
            <xdr:cNvPr id="2549" name="Check Box 501" hidden="1">
              <a:extLst>
                <a:ext uri="{63B3BB69-23CF-44E3-9099-C40C66FF867C}">
                  <a14:compatExt spid="_x0000_s2549"/>
                </a:ext>
                <a:ext uri="{FF2B5EF4-FFF2-40B4-BE49-F238E27FC236}">
                  <a16:creationId xmlns:a16="http://schemas.microsoft.com/office/drawing/2014/main" id="{00000000-0008-0000-0000-0000F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185</xdr:row>
          <xdr:rowOff>38100</xdr:rowOff>
        </xdr:from>
        <xdr:to>
          <xdr:col>2</xdr:col>
          <xdr:colOff>1000125</xdr:colOff>
          <xdr:row>185</xdr:row>
          <xdr:rowOff>171450</xdr:rowOff>
        </xdr:to>
        <xdr:sp macro="" textlink="">
          <xdr:nvSpPr>
            <xdr:cNvPr id="2550" name="Check Box 502" hidden="1">
              <a:extLst>
                <a:ext uri="{63B3BB69-23CF-44E3-9099-C40C66FF867C}">
                  <a14:compatExt spid="_x0000_s2550"/>
                </a:ext>
                <a:ext uri="{FF2B5EF4-FFF2-40B4-BE49-F238E27FC236}">
                  <a16:creationId xmlns:a16="http://schemas.microsoft.com/office/drawing/2014/main" id="{00000000-0008-0000-0000-0000F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174</xdr:row>
          <xdr:rowOff>28575</xdr:rowOff>
        </xdr:from>
        <xdr:to>
          <xdr:col>2</xdr:col>
          <xdr:colOff>990600</xdr:colOff>
          <xdr:row>174</xdr:row>
          <xdr:rowOff>161925</xdr:rowOff>
        </xdr:to>
        <xdr:sp macro="" textlink="">
          <xdr:nvSpPr>
            <xdr:cNvPr id="2557" name="Check Box 509" hidden="1">
              <a:extLst>
                <a:ext uri="{63B3BB69-23CF-44E3-9099-C40C66FF867C}">
                  <a14:compatExt spid="_x0000_s2557"/>
                </a:ext>
                <a:ext uri="{FF2B5EF4-FFF2-40B4-BE49-F238E27FC236}">
                  <a16:creationId xmlns:a16="http://schemas.microsoft.com/office/drawing/2014/main" id="{00000000-0008-0000-0000-0000F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193</xdr:row>
          <xdr:rowOff>19050</xdr:rowOff>
        </xdr:from>
        <xdr:to>
          <xdr:col>2</xdr:col>
          <xdr:colOff>1276350</xdr:colOff>
          <xdr:row>193</xdr:row>
          <xdr:rowOff>180975</xdr:rowOff>
        </xdr:to>
        <xdr:sp macro="" textlink="">
          <xdr:nvSpPr>
            <xdr:cNvPr id="2560" name="Drop Down 512" hidden="1">
              <a:extLst>
                <a:ext uri="{63B3BB69-23CF-44E3-9099-C40C66FF867C}">
                  <a14:compatExt spid="_x0000_s2560"/>
                </a:ext>
                <a:ext uri="{FF2B5EF4-FFF2-40B4-BE49-F238E27FC236}">
                  <a16:creationId xmlns:a16="http://schemas.microsoft.com/office/drawing/2014/main" id="{00000000-0008-0000-0000-00000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190</xdr:row>
          <xdr:rowOff>19050</xdr:rowOff>
        </xdr:from>
        <xdr:to>
          <xdr:col>2</xdr:col>
          <xdr:colOff>1266825</xdr:colOff>
          <xdr:row>190</xdr:row>
          <xdr:rowOff>180975</xdr:rowOff>
        </xdr:to>
        <xdr:sp macro="" textlink="">
          <xdr:nvSpPr>
            <xdr:cNvPr id="2561" name="Drop Down 513" hidden="1">
              <a:extLst>
                <a:ext uri="{63B3BB69-23CF-44E3-9099-C40C66FF867C}">
                  <a14:compatExt spid="_x0000_s2561"/>
                </a:ext>
                <a:ext uri="{FF2B5EF4-FFF2-40B4-BE49-F238E27FC236}">
                  <a16:creationId xmlns:a16="http://schemas.microsoft.com/office/drawing/2014/main" id="{00000000-0008-0000-0000-00000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189</xdr:row>
          <xdr:rowOff>28575</xdr:rowOff>
        </xdr:from>
        <xdr:to>
          <xdr:col>2</xdr:col>
          <xdr:colOff>1276350</xdr:colOff>
          <xdr:row>189</xdr:row>
          <xdr:rowOff>180975</xdr:rowOff>
        </xdr:to>
        <xdr:sp macro="" textlink="">
          <xdr:nvSpPr>
            <xdr:cNvPr id="2562" name="Drop Down 514" hidden="1">
              <a:extLst>
                <a:ext uri="{63B3BB69-23CF-44E3-9099-C40C66FF867C}">
                  <a14:compatExt spid="_x0000_s2562"/>
                </a:ext>
                <a:ext uri="{FF2B5EF4-FFF2-40B4-BE49-F238E27FC236}">
                  <a16:creationId xmlns:a16="http://schemas.microsoft.com/office/drawing/2014/main" id="{00000000-0008-0000-0000-00000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192</xdr:row>
          <xdr:rowOff>28575</xdr:rowOff>
        </xdr:from>
        <xdr:to>
          <xdr:col>2</xdr:col>
          <xdr:colOff>981075</xdr:colOff>
          <xdr:row>192</xdr:row>
          <xdr:rowOff>161925</xdr:rowOff>
        </xdr:to>
        <xdr:sp macro="" textlink="">
          <xdr:nvSpPr>
            <xdr:cNvPr id="2563" name="Check Box 515" hidden="1">
              <a:extLst>
                <a:ext uri="{63B3BB69-23CF-44E3-9099-C40C66FF867C}">
                  <a14:compatExt spid="_x0000_s2563"/>
                </a:ext>
                <a:ext uri="{FF2B5EF4-FFF2-40B4-BE49-F238E27FC236}">
                  <a16:creationId xmlns:a16="http://schemas.microsoft.com/office/drawing/2014/main" id="{00000000-0008-0000-0000-00000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191</xdr:row>
          <xdr:rowOff>28575</xdr:rowOff>
        </xdr:from>
        <xdr:to>
          <xdr:col>2</xdr:col>
          <xdr:colOff>990600</xdr:colOff>
          <xdr:row>191</xdr:row>
          <xdr:rowOff>161925</xdr:rowOff>
        </xdr:to>
        <xdr:sp macro="" textlink="">
          <xdr:nvSpPr>
            <xdr:cNvPr id="2564" name="Check Box 516" hidden="1">
              <a:extLst>
                <a:ext uri="{63B3BB69-23CF-44E3-9099-C40C66FF867C}">
                  <a14:compatExt spid="_x0000_s2564"/>
                </a:ext>
                <a:ext uri="{FF2B5EF4-FFF2-40B4-BE49-F238E27FC236}">
                  <a16:creationId xmlns:a16="http://schemas.microsoft.com/office/drawing/2014/main" id="{00000000-0008-0000-0000-00000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194</xdr:row>
          <xdr:rowOff>28575</xdr:rowOff>
        </xdr:from>
        <xdr:to>
          <xdr:col>2</xdr:col>
          <xdr:colOff>990600</xdr:colOff>
          <xdr:row>194</xdr:row>
          <xdr:rowOff>161925</xdr:rowOff>
        </xdr:to>
        <xdr:sp macro="" textlink="">
          <xdr:nvSpPr>
            <xdr:cNvPr id="2565" name="Check Box 517" hidden="1">
              <a:extLst>
                <a:ext uri="{63B3BB69-23CF-44E3-9099-C40C66FF867C}">
                  <a14:compatExt spid="_x0000_s2565"/>
                </a:ext>
                <a:ext uri="{FF2B5EF4-FFF2-40B4-BE49-F238E27FC236}">
                  <a16:creationId xmlns:a16="http://schemas.microsoft.com/office/drawing/2014/main" id="{00000000-0008-0000-0000-00000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195</xdr:row>
          <xdr:rowOff>38100</xdr:rowOff>
        </xdr:from>
        <xdr:to>
          <xdr:col>2</xdr:col>
          <xdr:colOff>1000125</xdr:colOff>
          <xdr:row>195</xdr:row>
          <xdr:rowOff>171450</xdr:rowOff>
        </xdr:to>
        <xdr:sp macro="" textlink="">
          <xdr:nvSpPr>
            <xdr:cNvPr id="2566" name="Check Box 518" hidden="1">
              <a:extLst>
                <a:ext uri="{63B3BB69-23CF-44E3-9099-C40C66FF867C}">
                  <a14:compatExt spid="_x0000_s2566"/>
                </a:ext>
                <a:ext uri="{FF2B5EF4-FFF2-40B4-BE49-F238E27FC236}">
                  <a16:creationId xmlns:a16="http://schemas.microsoft.com/office/drawing/2014/main" id="{00000000-0008-0000-0000-00000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167</xdr:row>
          <xdr:rowOff>9525</xdr:rowOff>
        </xdr:from>
        <xdr:to>
          <xdr:col>2</xdr:col>
          <xdr:colOff>1771650</xdr:colOff>
          <xdr:row>168</xdr:row>
          <xdr:rowOff>0</xdr:rowOff>
        </xdr:to>
        <xdr:sp macro="" textlink="">
          <xdr:nvSpPr>
            <xdr:cNvPr id="2567" name="Check Box 519" descr="Configure Region" hidden="1">
              <a:extLst>
                <a:ext uri="{63B3BB69-23CF-44E3-9099-C40C66FF867C}">
                  <a14:compatExt spid="_x0000_s2567"/>
                </a:ext>
                <a:ext uri="{FF2B5EF4-FFF2-40B4-BE49-F238E27FC236}">
                  <a16:creationId xmlns:a16="http://schemas.microsoft.com/office/drawing/2014/main" id="{00000000-0008-0000-0000-00000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203</xdr:row>
          <xdr:rowOff>19050</xdr:rowOff>
        </xdr:from>
        <xdr:to>
          <xdr:col>2</xdr:col>
          <xdr:colOff>1276350</xdr:colOff>
          <xdr:row>203</xdr:row>
          <xdr:rowOff>180975</xdr:rowOff>
        </xdr:to>
        <xdr:sp macro="" textlink="">
          <xdr:nvSpPr>
            <xdr:cNvPr id="2568" name="Drop Down 520" hidden="1">
              <a:extLst>
                <a:ext uri="{63B3BB69-23CF-44E3-9099-C40C66FF867C}">
                  <a14:compatExt spid="_x0000_s2568"/>
                </a:ext>
                <a:ext uri="{FF2B5EF4-FFF2-40B4-BE49-F238E27FC236}">
                  <a16:creationId xmlns:a16="http://schemas.microsoft.com/office/drawing/2014/main" id="{00000000-0008-0000-0000-00000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200</xdr:row>
          <xdr:rowOff>19050</xdr:rowOff>
        </xdr:from>
        <xdr:to>
          <xdr:col>2</xdr:col>
          <xdr:colOff>1266825</xdr:colOff>
          <xdr:row>200</xdr:row>
          <xdr:rowOff>180975</xdr:rowOff>
        </xdr:to>
        <xdr:sp macro="" textlink="">
          <xdr:nvSpPr>
            <xdr:cNvPr id="2569" name="Drop Down 521" hidden="1">
              <a:extLst>
                <a:ext uri="{63B3BB69-23CF-44E3-9099-C40C66FF867C}">
                  <a14:compatExt spid="_x0000_s2569"/>
                </a:ext>
                <a:ext uri="{FF2B5EF4-FFF2-40B4-BE49-F238E27FC236}">
                  <a16:creationId xmlns:a16="http://schemas.microsoft.com/office/drawing/2014/main" id="{00000000-0008-0000-0000-00000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199</xdr:row>
          <xdr:rowOff>28575</xdr:rowOff>
        </xdr:from>
        <xdr:to>
          <xdr:col>2</xdr:col>
          <xdr:colOff>1276350</xdr:colOff>
          <xdr:row>199</xdr:row>
          <xdr:rowOff>180975</xdr:rowOff>
        </xdr:to>
        <xdr:sp macro="" textlink="">
          <xdr:nvSpPr>
            <xdr:cNvPr id="2570" name="Drop Down 522" hidden="1">
              <a:extLst>
                <a:ext uri="{63B3BB69-23CF-44E3-9099-C40C66FF867C}">
                  <a14:compatExt spid="_x0000_s2570"/>
                </a:ext>
                <a:ext uri="{FF2B5EF4-FFF2-40B4-BE49-F238E27FC236}">
                  <a16:creationId xmlns:a16="http://schemas.microsoft.com/office/drawing/2014/main" id="{00000000-0008-0000-0000-00000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202</xdr:row>
          <xdr:rowOff>28575</xdr:rowOff>
        </xdr:from>
        <xdr:to>
          <xdr:col>2</xdr:col>
          <xdr:colOff>981075</xdr:colOff>
          <xdr:row>202</xdr:row>
          <xdr:rowOff>161925</xdr:rowOff>
        </xdr:to>
        <xdr:sp macro="" textlink="">
          <xdr:nvSpPr>
            <xdr:cNvPr id="2571" name="Check Box 523" hidden="1">
              <a:extLst>
                <a:ext uri="{63B3BB69-23CF-44E3-9099-C40C66FF867C}">
                  <a14:compatExt spid="_x0000_s2571"/>
                </a:ext>
                <a:ext uri="{FF2B5EF4-FFF2-40B4-BE49-F238E27FC236}">
                  <a16:creationId xmlns:a16="http://schemas.microsoft.com/office/drawing/2014/main" id="{00000000-0008-0000-0000-00000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201</xdr:row>
          <xdr:rowOff>28575</xdr:rowOff>
        </xdr:from>
        <xdr:to>
          <xdr:col>2</xdr:col>
          <xdr:colOff>990600</xdr:colOff>
          <xdr:row>201</xdr:row>
          <xdr:rowOff>161925</xdr:rowOff>
        </xdr:to>
        <xdr:sp macro="" textlink="">
          <xdr:nvSpPr>
            <xdr:cNvPr id="2572" name="Check Box 524" hidden="1">
              <a:extLst>
                <a:ext uri="{63B3BB69-23CF-44E3-9099-C40C66FF867C}">
                  <a14:compatExt spid="_x0000_s2572"/>
                </a:ext>
                <a:ext uri="{FF2B5EF4-FFF2-40B4-BE49-F238E27FC236}">
                  <a16:creationId xmlns:a16="http://schemas.microsoft.com/office/drawing/2014/main" id="{00000000-0008-0000-0000-00000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204</xdr:row>
          <xdr:rowOff>28575</xdr:rowOff>
        </xdr:from>
        <xdr:to>
          <xdr:col>2</xdr:col>
          <xdr:colOff>990600</xdr:colOff>
          <xdr:row>204</xdr:row>
          <xdr:rowOff>161925</xdr:rowOff>
        </xdr:to>
        <xdr:sp macro="" textlink="">
          <xdr:nvSpPr>
            <xdr:cNvPr id="2573" name="Check Box 525" hidden="1">
              <a:extLst>
                <a:ext uri="{63B3BB69-23CF-44E3-9099-C40C66FF867C}">
                  <a14:compatExt spid="_x0000_s2573"/>
                </a:ext>
                <a:ext uri="{FF2B5EF4-FFF2-40B4-BE49-F238E27FC236}">
                  <a16:creationId xmlns:a16="http://schemas.microsoft.com/office/drawing/2014/main" id="{00000000-0008-0000-0000-00000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205</xdr:row>
          <xdr:rowOff>38100</xdr:rowOff>
        </xdr:from>
        <xdr:to>
          <xdr:col>2</xdr:col>
          <xdr:colOff>1000125</xdr:colOff>
          <xdr:row>205</xdr:row>
          <xdr:rowOff>171450</xdr:rowOff>
        </xdr:to>
        <xdr:sp macro="" textlink="">
          <xdr:nvSpPr>
            <xdr:cNvPr id="2574" name="Check Box 526" hidden="1">
              <a:extLst>
                <a:ext uri="{63B3BB69-23CF-44E3-9099-C40C66FF867C}">
                  <a14:compatExt spid="_x0000_s2574"/>
                </a:ext>
                <a:ext uri="{FF2B5EF4-FFF2-40B4-BE49-F238E27FC236}">
                  <a16:creationId xmlns:a16="http://schemas.microsoft.com/office/drawing/2014/main" id="{00000000-0008-0000-0000-00000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213</xdr:row>
          <xdr:rowOff>19050</xdr:rowOff>
        </xdr:from>
        <xdr:to>
          <xdr:col>2</xdr:col>
          <xdr:colOff>1276350</xdr:colOff>
          <xdr:row>213</xdr:row>
          <xdr:rowOff>180975</xdr:rowOff>
        </xdr:to>
        <xdr:sp macro="" textlink="">
          <xdr:nvSpPr>
            <xdr:cNvPr id="2575" name="Drop Down 527" hidden="1">
              <a:extLst>
                <a:ext uri="{63B3BB69-23CF-44E3-9099-C40C66FF867C}">
                  <a14:compatExt spid="_x0000_s2575"/>
                </a:ext>
                <a:ext uri="{FF2B5EF4-FFF2-40B4-BE49-F238E27FC236}">
                  <a16:creationId xmlns:a16="http://schemas.microsoft.com/office/drawing/2014/main" id="{00000000-0008-0000-0000-00000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210</xdr:row>
          <xdr:rowOff>19050</xdr:rowOff>
        </xdr:from>
        <xdr:to>
          <xdr:col>2</xdr:col>
          <xdr:colOff>1266825</xdr:colOff>
          <xdr:row>210</xdr:row>
          <xdr:rowOff>180975</xdr:rowOff>
        </xdr:to>
        <xdr:sp macro="" textlink="">
          <xdr:nvSpPr>
            <xdr:cNvPr id="2576" name="Drop Down 528" hidden="1">
              <a:extLst>
                <a:ext uri="{63B3BB69-23CF-44E3-9099-C40C66FF867C}">
                  <a14:compatExt spid="_x0000_s2576"/>
                </a:ext>
                <a:ext uri="{FF2B5EF4-FFF2-40B4-BE49-F238E27FC236}">
                  <a16:creationId xmlns:a16="http://schemas.microsoft.com/office/drawing/2014/main" id="{00000000-0008-0000-0000-00001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209</xdr:row>
          <xdr:rowOff>28575</xdr:rowOff>
        </xdr:from>
        <xdr:to>
          <xdr:col>2</xdr:col>
          <xdr:colOff>1276350</xdr:colOff>
          <xdr:row>209</xdr:row>
          <xdr:rowOff>180975</xdr:rowOff>
        </xdr:to>
        <xdr:sp macro="" textlink="">
          <xdr:nvSpPr>
            <xdr:cNvPr id="2577" name="Drop Down 529" hidden="1">
              <a:extLst>
                <a:ext uri="{63B3BB69-23CF-44E3-9099-C40C66FF867C}">
                  <a14:compatExt spid="_x0000_s2577"/>
                </a:ext>
                <a:ext uri="{FF2B5EF4-FFF2-40B4-BE49-F238E27FC236}">
                  <a16:creationId xmlns:a16="http://schemas.microsoft.com/office/drawing/2014/main" id="{00000000-0008-0000-0000-00001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212</xdr:row>
          <xdr:rowOff>28575</xdr:rowOff>
        </xdr:from>
        <xdr:to>
          <xdr:col>2</xdr:col>
          <xdr:colOff>981075</xdr:colOff>
          <xdr:row>212</xdr:row>
          <xdr:rowOff>161925</xdr:rowOff>
        </xdr:to>
        <xdr:sp macro="" textlink="">
          <xdr:nvSpPr>
            <xdr:cNvPr id="2578" name="Check Box 530" hidden="1">
              <a:extLst>
                <a:ext uri="{63B3BB69-23CF-44E3-9099-C40C66FF867C}">
                  <a14:compatExt spid="_x0000_s2578"/>
                </a:ext>
                <a:ext uri="{FF2B5EF4-FFF2-40B4-BE49-F238E27FC236}">
                  <a16:creationId xmlns:a16="http://schemas.microsoft.com/office/drawing/2014/main" id="{00000000-0008-0000-0000-00001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211</xdr:row>
          <xdr:rowOff>28575</xdr:rowOff>
        </xdr:from>
        <xdr:to>
          <xdr:col>2</xdr:col>
          <xdr:colOff>990600</xdr:colOff>
          <xdr:row>211</xdr:row>
          <xdr:rowOff>161925</xdr:rowOff>
        </xdr:to>
        <xdr:sp macro="" textlink="">
          <xdr:nvSpPr>
            <xdr:cNvPr id="2579" name="Check Box 531" hidden="1">
              <a:extLst>
                <a:ext uri="{63B3BB69-23CF-44E3-9099-C40C66FF867C}">
                  <a14:compatExt spid="_x0000_s2579"/>
                </a:ext>
                <a:ext uri="{FF2B5EF4-FFF2-40B4-BE49-F238E27FC236}">
                  <a16:creationId xmlns:a16="http://schemas.microsoft.com/office/drawing/2014/main" id="{00000000-0008-0000-0000-00001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214</xdr:row>
          <xdr:rowOff>28575</xdr:rowOff>
        </xdr:from>
        <xdr:to>
          <xdr:col>2</xdr:col>
          <xdr:colOff>990600</xdr:colOff>
          <xdr:row>214</xdr:row>
          <xdr:rowOff>161925</xdr:rowOff>
        </xdr:to>
        <xdr:sp macro="" textlink="">
          <xdr:nvSpPr>
            <xdr:cNvPr id="2580" name="Check Box 532" hidden="1">
              <a:extLst>
                <a:ext uri="{63B3BB69-23CF-44E3-9099-C40C66FF867C}">
                  <a14:compatExt spid="_x0000_s2580"/>
                </a:ext>
                <a:ext uri="{FF2B5EF4-FFF2-40B4-BE49-F238E27FC236}">
                  <a16:creationId xmlns:a16="http://schemas.microsoft.com/office/drawing/2014/main" id="{00000000-0008-0000-0000-00001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215</xdr:row>
          <xdr:rowOff>38100</xdr:rowOff>
        </xdr:from>
        <xdr:to>
          <xdr:col>2</xdr:col>
          <xdr:colOff>1000125</xdr:colOff>
          <xdr:row>215</xdr:row>
          <xdr:rowOff>171450</xdr:rowOff>
        </xdr:to>
        <xdr:sp macro="" textlink="">
          <xdr:nvSpPr>
            <xdr:cNvPr id="2581" name="Check Box 533" hidden="1">
              <a:extLst>
                <a:ext uri="{63B3BB69-23CF-44E3-9099-C40C66FF867C}">
                  <a14:compatExt spid="_x0000_s2581"/>
                </a:ext>
                <a:ext uri="{FF2B5EF4-FFF2-40B4-BE49-F238E27FC236}">
                  <a16:creationId xmlns:a16="http://schemas.microsoft.com/office/drawing/2014/main" id="{00000000-0008-0000-0000-00001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223</xdr:row>
          <xdr:rowOff>19050</xdr:rowOff>
        </xdr:from>
        <xdr:to>
          <xdr:col>2</xdr:col>
          <xdr:colOff>1276350</xdr:colOff>
          <xdr:row>223</xdr:row>
          <xdr:rowOff>180975</xdr:rowOff>
        </xdr:to>
        <xdr:sp macro="" textlink="">
          <xdr:nvSpPr>
            <xdr:cNvPr id="2582" name="Drop Down 534" hidden="1">
              <a:extLst>
                <a:ext uri="{63B3BB69-23CF-44E3-9099-C40C66FF867C}">
                  <a14:compatExt spid="_x0000_s2582"/>
                </a:ext>
                <a:ext uri="{FF2B5EF4-FFF2-40B4-BE49-F238E27FC236}">
                  <a16:creationId xmlns:a16="http://schemas.microsoft.com/office/drawing/2014/main" id="{00000000-0008-0000-0000-00001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220</xdr:row>
          <xdr:rowOff>19050</xdr:rowOff>
        </xdr:from>
        <xdr:to>
          <xdr:col>2</xdr:col>
          <xdr:colOff>1266825</xdr:colOff>
          <xdr:row>220</xdr:row>
          <xdr:rowOff>180975</xdr:rowOff>
        </xdr:to>
        <xdr:sp macro="" textlink="">
          <xdr:nvSpPr>
            <xdr:cNvPr id="2583" name="Drop Down 535" hidden="1">
              <a:extLst>
                <a:ext uri="{63B3BB69-23CF-44E3-9099-C40C66FF867C}">
                  <a14:compatExt spid="_x0000_s2583"/>
                </a:ext>
                <a:ext uri="{FF2B5EF4-FFF2-40B4-BE49-F238E27FC236}">
                  <a16:creationId xmlns:a16="http://schemas.microsoft.com/office/drawing/2014/main" id="{00000000-0008-0000-0000-00001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219</xdr:row>
          <xdr:rowOff>28575</xdr:rowOff>
        </xdr:from>
        <xdr:to>
          <xdr:col>2</xdr:col>
          <xdr:colOff>1276350</xdr:colOff>
          <xdr:row>219</xdr:row>
          <xdr:rowOff>180975</xdr:rowOff>
        </xdr:to>
        <xdr:sp macro="" textlink="">
          <xdr:nvSpPr>
            <xdr:cNvPr id="2584" name="Drop Down 536" hidden="1">
              <a:extLst>
                <a:ext uri="{63B3BB69-23CF-44E3-9099-C40C66FF867C}">
                  <a14:compatExt spid="_x0000_s2584"/>
                </a:ext>
                <a:ext uri="{FF2B5EF4-FFF2-40B4-BE49-F238E27FC236}">
                  <a16:creationId xmlns:a16="http://schemas.microsoft.com/office/drawing/2014/main" id="{00000000-0008-0000-0000-00001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222</xdr:row>
          <xdr:rowOff>28575</xdr:rowOff>
        </xdr:from>
        <xdr:to>
          <xdr:col>2</xdr:col>
          <xdr:colOff>981075</xdr:colOff>
          <xdr:row>222</xdr:row>
          <xdr:rowOff>161925</xdr:rowOff>
        </xdr:to>
        <xdr:sp macro="" textlink="">
          <xdr:nvSpPr>
            <xdr:cNvPr id="2585" name="Check Box 537" hidden="1">
              <a:extLst>
                <a:ext uri="{63B3BB69-23CF-44E3-9099-C40C66FF867C}">
                  <a14:compatExt spid="_x0000_s2585"/>
                </a:ext>
                <a:ext uri="{FF2B5EF4-FFF2-40B4-BE49-F238E27FC236}">
                  <a16:creationId xmlns:a16="http://schemas.microsoft.com/office/drawing/2014/main" id="{00000000-0008-0000-0000-00001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221</xdr:row>
          <xdr:rowOff>28575</xdr:rowOff>
        </xdr:from>
        <xdr:to>
          <xdr:col>2</xdr:col>
          <xdr:colOff>990600</xdr:colOff>
          <xdr:row>221</xdr:row>
          <xdr:rowOff>161925</xdr:rowOff>
        </xdr:to>
        <xdr:sp macro="" textlink="">
          <xdr:nvSpPr>
            <xdr:cNvPr id="2586" name="Check Box 538" hidden="1">
              <a:extLst>
                <a:ext uri="{63B3BB69-23CF-44E3-9099-C40C66FF867C}">
                  <a14:compatExt spid="_x0000_s2586"/>
                </a:ext>
                <a:ext uri="{FF2B5EF4-FFF2-40B4-BE49-F238E27FC236}">
                  <a16:creationId xmlns:a16="http://schemas.microsoft.com/office/drawing/2014/main" id="{00000000-0008-0000-0000-00001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224</xdr:row>
          <xdr:rowOff>28575</xdr:rowOff>
        </xdr:from>
        <xdr:to>
          <xdr:col>2</xdr:col>
          <xdr:colOff>990600</xdr:colOff>
          <xdr:row>224</xdr:row>
          <xdr:rowOff>161925</xdr:rowOff>
        </xdr:to>
        <xdr:sp macro="" textlink="">
          <xdr:nvSpPr>
            <xdr:cNvPr id="2587" name="Check Box 539" hidden="1">
              <a:extLst>
                <a:ext uri="{63B3BB69-23CF-44E3-9099-C40C66FF867C}">
                  <a14:compatExt spid="_x0000_s2587"/>
                </a:ext>
                <a:ext uri="{FF2B5EF4-FFF2-40B4-BE49-F238E27FC236}">
                  <a16:creationId xmlns:a16="http://schemas.microsoft.com/office/drawing/2014/main" id="{00000000-0008-0000-0000-00001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225</xdr:row>
          <xdr:rowOff>38100</xdr:rowOff>
        </xdr:from>
        <xdr:to>
          <xdr:col>2</xdr:col>
          <xdr:colOff>1000125</xdr:colOff>
          <xdr:row>225</xdr:row>
          <xdr:rowOff>171450</xdr:rowOff>
        </xdr:to>
        <xdr:sp macro="" textlink="">
          <xdr:nvSpPr>
            <xdr:cNvPr id="2588" name="Check Box 540" hidden="1">
              <a:extLst>
                <a:ext uri="{63B3BB69-23CF-44E3-9099-C40C66FF867C}">
                  <a14:compatExt spid="_x0000_s2588"/>
                </a:ext>
                <a:ext uri="{FF2B5EF4-FFF2-40B4-BE49-F238E27FC236}">
                  <a16:creationId xmlns:a16="http://schemas.microsoft.com/office/drawing/2014/main" id="{00000000-0008-0000-0000-00001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233</xdr:row>
          <xdr:rowOff>19050</xdr:rowOff>
        </xdr:from>
        <xdr:to>
          <xdr:col>2</xdr:col>
          <xdr:colOff>1276350</xdr:colOff>
          <xdr:row>233</xdr:row>
          <xdr:rowOff>180975</xdr:rowOff>
        </xdr:to>
        <xdr:sp macro="" textlink="">
          <xdr:nvSpPr>
            <xdr:cNvPr id="2589" name="Drop Down 541" hidden="1">
              <a:extLst>
                <a:ext uri="{63B3BB69-23CF-44E3-9099-C40C66FF867C}">
                  <a14:compatExt spid="_x0000_s2589"/>
                </a:ext>
                <a:ext uri="{FF2B5EF4-FFF2-40B4-BE49-F238E27FC236}">
                  <a16:creationId xmlns:a16="http://schemas.microsoft.com/office/drawing/2014/main" id="{00000000-0008-0000-0000-00001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230</xdr:row>
          <xdr:rowOff>19050</xdr:rowOff>
        </xdr:from>
        <xdr:to>
          <xdr:col>2</xdr:col>
          <xdr:colOff>1266825</xdr:colOff>
          <xdr:row>230</xdr:row>
          <xdr:rowOff>180975</xdr:rowOff>
        </xdr:to>
        <xdr:sp macro="" textlink="">
          <xdr:nvSpPr>
            <xdr:cNvPr id="2590" name="Drop Down 542" hidden="1">
              <a:extLst>
                <a:ext uri="{63B3BB69-23CF-44E3-9099-C40C66FF867C}">
                  <a14:compatExt spid="_x0000_s2590"/>
                </a:ext>
                <a:ext uri="{FF2B5EF4-FFF2-40B4-BE49-F238E27FC236}">
                  <a16:creationId xmlns:a16="http://schemas.microsoft.com/office/drawing/2014/main" id="{00000000-0008-0000-0000-00001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229</xdr:row>
          <xdr:rowOff>28575</xdr:rowOff>
        </xdr:from>
        <xdr:to>
          <xdr:col>2</xdr:col>
          <xdr:colOff>1276350</xdr:colOff>
          <xdr:row>229</xdr:row>
          <xdr:rowOff>180975</xdr:rowOff>
        </xdr:to>
        <xdr:sp macro="" textlink="">
          <xdr:nvSpPr>
            <xdr:cNvPr id="2591" name="Drop Down 543" hidden="1">
              <a:extLst>
                <a:ext uri="{63B3BB69-23CF-44E3-9099-C40C66FF867C}">
                  <a14:compatExt spid="_x0000_s2591"/>
                </a:ext>
                <a:ext uri="{FF2B5EF4-FFF2-40B4-BE49-F238E27FC236}">
                  <a16:creationId xmlns:a16="http://schemas.microsoft.com/office/drawing/2014/main" id="{00000000-0008-0000-0000-00001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232</xdr:row>
          <xdr:rowOff>28575</xdr:rowOff>
        </xdr:from>
        <xdr:to>
          <xdr:col>2</xdr:col>
          <xdr:colOff>981075</xdr:colOff>
          <xdr:row>232</xdr:row>
          <xdr:rowOff>161925</xdr:rowOff>
        </xdr:to>
        <xdr:sp macro="" textlink="">
          <xdr:nvSpPr>
            <xdr:cNvPr id="2592" name="Check Box 544" hidden="1">
              <a:extLst>
                <a:ext uri="{63B3BB69-23CF-44E3-9099-C40C66FF867C}">
                  <a14:compatExt spid="_x0000_s2592"/>
                </a:ext>
                <a:ext uri="{FF2B5EF4-FFF2-40B4-BE49-F238E27FC236}">
                  <a16:creationId xmlns:a16="http://schemas.microsoft.com/office/drawing/2014/main" id="{00000000-0008-0000-0000-00002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231</xdr:row>
          <xdr:rowOff>28575</xdr:rowOff>
        </xdr:from>
        <xdr:to>
          <xdr:col>2</xdr:col>
          <xdr:colOff>990600</xdr:colOff>
          <xdr:row>231</xdr:row>
          <xdr:rowOff>161925</xdr:rowOff>
        </xdr:to>
        <xdr:sp macro="" textlink="">
          <xdr:nvSpPr>
            <xdr:cNvPr id="2593" name="Check Box 545" hidden="1">
              <a:extLst>
                <a:ext uri="{63B3BB69-23CF-44E3-9099-C40C66FF867C}">
                  <a14:compatExt spid="_x0000_s2593"/>
                </a:ext>
                <a:ext uri="{FF2B5EF4-FFF2-40B4-BE49-F238E27FC236}">
                  <a16:creationId xmlns:a16="http://schemas.microsoft.com/office/drawing/2014/main" id="{00000000-0008-0000-0000-00002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234</xdr:row>
          <xdr:rowOff>28575</xdr:rowOff>
        </xdr:from>
        <xdr:to>
          <xdr:col>2</xdr:col>
          <xdr:colOff>990600</xdr:colOff>
          <xdr:row>234</xdr:row>
          <xdr:rowOff>161925</xdr:rowOff>
        </xdr:to>
        <xdr:sp macro="" textlink="">
          <xdr:nvSpPr>
            <xdr:cNvPr id="2594" name="Check Box 546" hidden="1">
              <a:extLst>
                <a:ext uri="{63B3BB69-23CF-44E3-9099-C40C66FF867C}">
                  <a14:compatExt spid="_x0000_s2594"/>
                </a:ext>
                <a:ext uri="{FF2B5EF4-FFF2-40B4-BE49-F238E27FC236}">
                  <a16:creationId xmlns:a16="http://schemas.microsoft.com/office/drawing/2014/main" id="{00000000-0008-0000-0000-00002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235</xdr:row>
          <xdr:rowOff>38100</xdr:rowOff>
        </xdr:from>
        <xdr:to>
          <xdr:col>2</xdr:col>
          <xdr:colOff>1000125</xdr:colOff>
          <xdr:row>235</xdr:row>
          <xdr:rowOff>171450</xdr:rowOff>
        </xdr:to>
        <xdr:sp macro="" textlink="">
          <xdr:nvSpPr>
            <xdr:cNvPr id="2595" name="Check Box 547" hidden="1">
              <a:extLst>
                <a:ext uri="{63B3BB69-23CF-44E3-9099-C40C66FF867C}">
                  <a14:compatExt spid="_x0000_s2595"/>
                </a:ext>
                <a:ext uri="{FF2B5EF4-FFF2-40B4-BE49-F238E27FC236}">
                  <a16:creationId xmlns:a16="http://schemas.microsoft.com/office/drawing/2014/main" id="{00000000-0008-0000-0000-00002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243</xdr:row>
          <xdr:rowOff>19050</xdr:rowOff>
        </xdr:from>
        <xdr:to>
          <xdr:col>2</xdr:col>
          <xdr:colOff>1276350</xdr:colOff>
          <xdr:row>243</xdr:row>
          <xdr:rowOff>180975</xdr:rowOff>
        </xdr:to>
        <xdr:sp macro="" textlink="">
          <xdr:nvSpPr>
            <xdr:cNvPr id="2596" name="Drop Down 548" hidden="1">
              <a:extLst>
                <a:ext uri="{63B3BB69-23CF-44E3-9099-C40C66FF867C}">
                  <a14:compatExt spid="_x0000_s2596"/>
                </a:ext>
                <a:ext uri="{FF2B5EF4-FFF2-40B4-BE49-F238E27FC236}">
                  <a16:creationId xmlns:a16="http://schemas.microsoft.com/office/drawing/2014/main" id="{00000000-0008-0000-0000-00002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240</xdr:row>
          <xdr:rowOff>19050</xdr:rowOff>
        </xdr:from>
        <xdr:to>
          <xdr:col>2</xdr:col>
          <xdr:colOff>1266825</xdr:colOff>
          <xdr:row>240</xdr:row>
          <xdr:rowOff>180975</xdr:rowOff>
        </xdr:to>
        <xdr:sp macro="" textlink="">
          <xdr:nvSpPr>
            <xdr:cNvPr id="2597" name="Drop Down 549" hidden="1">
              <a:extLst>
                <a:ext uri="{63B3BB69-23CF-44E3-9099-C40C66FF867C}">
                  <a14:compatExt spid="_x0000_s2597"/>
                </a:ext>
                <a:ext uri="{FF2B5EF4-FFF2-40B4-BE49-F238E27FC236}">
                  <a16:creationId xmlns:a16="http://schemas.microsoft.com/office/drawing/2014/main" id="{00000000-0008-0000-0000-00002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239</xdr:row>
          <xdr:rowOff>28575</xdr:rowOff>
        </xdr:from>
        <xdr:to>
          <xdr:col>2</xdr:col>
          <xdr:colOff>1276350</xdr:colOff>
          <xdr:row>239</xdr:row>
          <xdr:rowOff>180975</xdr:rowOff>
        </xdr:to>
        <xdr:sp macro="" textlink="">
          <xdr:nvSpPr>
            <xdr:cNvPr id="2598" name="Drop Down 550" hidden="1">
              <a:extLst>
                <a:ext uri="{63B3BB69-23CF-44E3-9099-C40C66FF867C}">
                  <a14:compatExt spid="_x0000_s2598"/>
                </a:ext>
                <a:ext uri="{FF2B5EF4-FFF2-40B4-BE49-F238E27FC236}">
                  <a16:creationId xmlns:a16="http://schemas.microsoft.com/office/drawing/2014/main" id="{00000000-0008-0000-0000-00002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242</xdr:row>
          <xdr:rowOff>28575</xdr:rowOff>
        </xdr:from>
        <xdr:to>
          <xdr:col>2</xdr:col>
          <xdr:colOff>981075</xdr:colOff>
          <xdr:row>242</xdr:row>
          <xdr:rowOff>161925</xdr:rowOff>
        </xdr:to>
        <xdr:sp macro="" textlink="">
          <xdr:nvSpPr>
            <xdr:cNvPr id="2599" name="Check Box 551" hidden="1">
              <a:extLst>
                <a:ext uri="{63B3BB69-23CF-44E3-9099-C40C66FF867C}">
                  <a14:compatExt spid="_x0000_s2599"/>
                </a:ext>
                <a:ext uri="{FF2B5EF4-FFF2-40B4-BE49-F238E27FC236}">
                  <a16:creationId xmlns:a16="http://schemas.microsoft.com/office/drawing/2014/main" id="{00000000-0008-0000-0000-00002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241</xdr:row>
          <xdr:rowOff>28575</xdr:rowOff>
        </xdr:from>
        <xdr:to>
          <xdr:col>2</xdr:col>
          <xdr:colOff>990600</xdr:colOff>
          <xdr:row>241</xdr:row>
          <xdr:rowOff>161925</xdr:rowOff>
        </xdr:to>
        <xdr:sp macro="" textlink="">
          <xdr:nvSpPr>
            <xdr:cNvPr id="2600" name="Check Box 552" hidden="1">
              <a:extLst>
                <a:ext uri="{63B3BB69-23CF-44E3-9099-C40C66FF867C}">
                  <a14:compatExt spid="_x0000_s2600"/>
                </a:ext>
                <a:ext uri="{FF2B5EF4-FFF2-40B4-BE49-F238E27FC236}">
                  <a16:creationId xmlns:a16="http://schemas.microsoft.com/office/drawing/2014/main" id="{00000000-0008-0000-0000-00002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244</xdr:row>
          <xdr:rowOff>28575</xdr:rowOff>
        </xdr:from>
        <xdr:to>
          <xdr:col>2</xdr:col>
          <xdr:colOff>990600</xdr:colOff>
          <xdr:row>244</xdr:row>
          <xdr:rowOff>161925</xdr:rowOff>
        </xdr:to>
        <xdr:sp macro="" textlink="">
          <xdr:nvSpPr>
            <xdr:cNvPr id="2601" name="Check Box 553" hidden="1">
              <a:extLst>
                <a:ext uri="{63B3BB69-23CF-44E3-9099-C40C66FF867C}">
                  <a14:compatExt spid="_x0000_s2601"/>
                </a:ext>
                <a:ext uri="{FF2B5EF4-FFF2-40B4-BE49-F238E27FC236}">
                  <a16:creationId xmlns:a16="http://schemas.microsoft.com/office/drawing/2014/main" id="{00000000-0008-0000-0000-00002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245</xdr:row>
          <xdr:rowOff>38100</xdr:rowOff>
        </xdr:from>
        <xdr:to>
          <xdr:col>2</xdr:col>
          <xdr:colOff>1000125</xdr:colOff>
          <xdr:row>245</xdr:row>
          <xdr:rowOff>171450</xdr:rowOff>
        </xdr:to>
        <xdr:sp macro="" textlink="">
          <xdr:nvSpPr>
            <xdr:cNvPr id="2602" name="Check Box 554" hidden="1">
              <a:extLst>
                <a:ext uri="{63B3BB69-23CF-44E3-9099-C40C66FF867C}">
                  <a14:compatExt spid="_x0000_s2602"/>
                </a:ext>
                <a:ext uri="{FF2B5EF4-FFF2-40B4-BE49-F238E27FC236}">
                  <a16:creationId xmlns:a16="http://schemas.microsoft.com/office/drawing/2014/main" id="{00000000-0008-0000-0000-00002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177</xdr:row>
          <xdr:rowOff>9525</xdr:rowOff>
        </xdr:from>
        <xdr:to>
          <xdr:col>2</xdr:col>
          <xdr:colOff>1771650</xdr:colOff>
          <xdr:row>178</xdr:row>
          <xdr:rowOff>0</xdr:rowOff>
        </xdr:to>
        <xdr:sp macro="" textlink="">
          <xdr:nvSpPr>
            <xdr:cNvPr id="2603" name="Check Box 555" descr="Configure Region" hidden="1">
              <a:extLst>
                <a:ext uri="{63B3BB69-23CF-44E3-9099-C40C66FF867C}">
                  <a14:compatExt spid="_x0000_s2603"/>
                </a:ext>
                <a:ext uri="{FF2B5EF4-FFF2-40B4-BE49-F238E27FC236}">
                  <a16:creationId xmlns:a16="http://schemas.microsoft.com/office/drawing/2014/main" id="{00000000-0008-0000-0000-00002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187</xdr:row>
          <xdr:rowOff>9525</xdr:rowOff>
        </xdr:from>
        <xdr:to>
          <xdr:col>2</xdr:col>
          <xdr:colOff>1771650</xdr:colOff>
          <xdr:row>188</xdr:row>
          <xdr:rowOff>0</xdr:rowOff>
        </xdr:to>
        <xdr:sp macro="" textlink="">
          <xdr:nvSpPr>
            <xdr:cNvPr id="2604" name="Check Box 556" descr="Configure Region" hidden="1">
              <a:extLst>
                <a:ext uri="{63B3BB69-23CF-44E3-9099-C40C66FF867C}">
                  <a14:compatExt spid="_x0000_s2604"/>
                </a:ext>
                <a:ext uri="{FF2B5EF4-FFF2-40B4-BE49-F238E27FC236}">
                  <a16:creationId xmlns:a16="http://schemas.microsoft.com/office/drawing/2014/main" id="{00000000-0008-0000-0000-00002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197</xdr:row>
          <xdr:rowOff>9525</xdr:rowOff>
        </xdr:from>
        <xdr:to>
          <xdr:col>2</xdr:col>
          <xdr:colOff>1771650</xdr:colOff>
          <xdr:row>198</xdr:row>
          <xdr:rowOff>0</xdr:rowOff>
        </xdr:to>
        <xdr:sp macro="" textlink="">
          <xdr:nvSpPr>
            <xdr:cNvPr id="2605" name="Check Box 557" descr="Configure Region" hidden="1">
              <a:extLst>
                <a:ext uri="{63B3BB69-23CF-44E3-9099-C40C66FF867C}">
                  <a14:compatExt spid="_x0000_s2605"/>
                </a:ext>
                <a:ext uri="{FF2B5EF4-FFF2-40B4-BE49-F238E27FC236}">
                  <a16:creationId xmlns:a16="http://schemas.microsoft.com/office/drawing/2014/main" id="{00000000-0008-0000-0000-00002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207</xdr:row>
          <xdr:rowOff>9525</xdr:rowOff>
        </xdr:from>
        <xdr:to>
          <xdr:col>2</xdr:col>
          <xdr:colOff>1771650</xdr:colOff>
          <xdr:row>208</xdr:row>
          <xdr:rowOff>0</xdr:rowOff>
        </xdr:to>
        <xdr:sp macro="" textlink="">
          <xdr:nvSpPr>
            <xdr:cNvPr id="2606" name="Check Box 558" descr="Configure Region" hidden="1">
              <a:extLst>
                <a:ext uri="{63B3BB69-23CF-44E3-9099-C40C66FF867C}">
                  <a14:compatExt spid="_x0000_s2606"/>
                </a:ext>
                <a:ext uri="{FF2B5EF4-FFF2-40B4-BE49-F238E27FC236}">
                  <a16:creationId xmlns:a16="http://schemas.microsoft.com/office/drawing/2014/main" id="{00000000-0008-0000-0000-00002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217</xdr:row>
          <xdr:rowOff>9525</xdr:rowOff>
        </xdr:from>
        <xdr:to>
          <xdr:col>2</xdr:col>
          <xdr:colOff>1771650</xdr:colOff>
          <xdr:row>218</xdr:row>
          <xdr:rowOff>0</xdr:rowOff>
        </xdr:to>
        <xdr:sp macro="" textlink="">
          <xdr:nvSpPr>
            <xdr:cNvPr id="2607" name="Check Box 559" descr="Configure Region" hidden="1">
              <a:extLst>
                <a:ext uri="{63B3BB69-23CF-44E3-9099-C40C66FF867C}">
                  <a14:compatExt spid="_x0000_s2607"/>
                </a:ext>
                <a:ext uri="{FF2B5EF4-FFF2-40B4-BE49-F238E27FC236}">
                  <a16:creationId xmlns:a16="http://schemas.microsoft.com/office/drawing/2014/main" id="{00000000-0008-0000-0000-00002F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227</xdr:row>
          <xdr:rowOff>9525</xdr:rowOff>
        </xdr:from>
        <xdr:to>
          <xdr:col>2</xdr:col>
          <xdr:colOff>1771650</xdr:colOff>
          <xdr:row>228</xdr:row>
          <xdr:rowOff>0</xdr:rowOff>
        </xdr:to>
        <xdr:sp macro="" textlink="">
          <xdr:nvSpPr>
            <xdr:cNvPr id="2608" name="Check Box 560" descr="Configure Region" hidden="1">
              <a:extLst>
                <a:ext uri="{63B3BB69-23CF-44E3-9099-C40C66FF867C}">
                  <a14:compatExt spid="_x0000_s2608"/>
                </a:ext>
                <a:ext uri="{FF2B5EF4-FFF2-40B4-BE49-F238E27FC236}">
                  <a16:creationId xmlns:a16="http://schemas.microsoft.com/office/drawing/2014/main" id="{00000000-0008-0000-0000-000030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237</xdr:row>
          <xdr:rowOff>9525</xdr:rowOff>
        </xdr:from>
        <xdr:to>
          <xdr:col>2</xdr:col>
          <xdr:colOff>1771650</xdr:colOff>
          <xdr:row>238</xdr:row>
          <xdr:rowOff>0</xdr:rowOff>
        </xdr:to>
        <xdr:sp macro="" textlink="">
          <xdr:nvSpPr>
            <xdr:cNvPr id="2609" name="Check Box 561" descr="Configure Region" hidden="1">
              <a:extLst>
                <a:ext uri="{63B3BB69-23CF-44E3-9099-C40C66FF867C}">
                  <a14:compatExt spid="_x0000_s2609"/>
                </a:ext>
                <a:ext uri="{FF2B5EF4-FFF2-40B4-BE49-F238E27FC236}">
                  <a16:creationId xmlns:a16="http://schemas.microsoft.com/office/drawing/2014/main" id="{00000000-0008-0000-0000-000031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Attr Indirection</a:t>
              </a:r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183</xdr:row>
          <xdr:rowOff>19050</xdr:rowOff>
        </xdr:from>
        <xdr:to>
          <xdr:col>2</xdr:col>
          <xdr:colOff>1276350</xdr:colOff>
          <xdr:row>183</xdr:row>
          <xdr:rowOff>180975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180</xdr:row>
          <xdr:rowOff>19050</xdr:rowOff>
        </xdr:from>
        <xdr:to>
          <xdr:col>2</xdr:col>
          <xdr:colOff>1266825</xdr:colOff>
          <xdr:row>180</xdr:row>
          <xdr:rowOff>180975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179</xdr:row>
          <xdr:rowOff>28575</xdr:rowOff>
        </xdr:from>
        <xdr:to>
          <xdr:col>2</xdr:col>
          <xdr:colOff>1276350</xdr:colOff>
          <xdr:row>179</xdr:row>
          <xdr:rowOff>180975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173</xdr:row>
          <xdr:rowOff>19050</xdr:rowOff>
        </xdr:from>
        <xdr:to>
          <xdr:col>2</xdr:col>
          <xdr:colOff>1247775</xdr:colOff>
          <xdr:row>173</xdr:row>
          <xdr:rowOff>180975</xdr:rowOff>
        </xdr:to>
        <xdr:sp macro="" textlink="">
          <xdr:nvSpPr>
            <xdr:cNvPr id="3076" name="Drop Down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1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170</xdr:row>
          <xdr:rowOff>28575</xdr:rowOff>
        </xdr:from>
        <xdr:to>
          <xdr:col>2</xdr:col>
          <xdr:colOff>1238250</xdr:colOff>
          <xdr:row>170</xdr:row>
          <xdr:rowOff>180975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169</xdr:row>
          <xdr:rowOff>19050</xdr:rowOff>
        </xdr:from>
        <xdr:to>
          <xdr:col>2</xdr:col>
          <xdr:colOff>1238250</xdr:colOff>
          <xdr:row>169</xdr:row>
          <xdr:rowOff>180975</xdr:rowOff>
        </xdr:to>
        <xdr:sp macro="" textlink="">
          <xdr:nvSpPr>
            <xdr:cNvPr id="3078" name="Drop Down 6" hidden="1">
              <a:extLst>
                <a:ext uri="{63B3BB69-23CF-44E3-9099-C40C66FF867C}">
                  <a14:compatExt spid="_x0000_s3078"/>
                </a:ext>
                <a:ext uri="{FF2B5EF4-FFF2-40B4-BE49-F238E27FC236}">
                  <a16:creationId xmlns:a16="http://schemas.microsoft.com/office/drawing/2014/main" id="{00000000-0008-0000-0100-00000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26</xdr:row>
          <xdr:rowOff>9525</xdr:rowOff>
        </xdr:from>
        <xdr:to>
          <xdr:col>2</xdr:col>
          <xdr:colOff>1771650</xdr:colOff>
          <xdr:row>34</xdr:row>
          <xdr:rowOff>180975</xdr:rowOff>
        </xdr:to>
        <xdr:grpSp>
          <xdr:nvGrpSpPr>
            <xdr:cNvPr id="2" name="Gruppieren 1">
              <a:extLst>
                <a:ext uri="{FF2B5EF4-FFF2-40B4-BE49-F238E27FC236}">
                  <a16:creationId xmlns:a16="http://schemas.microsoft.com/office/drawing/2014/main" id="{560562B6-2158-4127-B527-9DCE692458A1}"/>
                </a:ext>
              </a:extLst>
            </xdr:cNvPr>
            <xdr:cNvGrpSpPr/>
          </xdr:nvGrpSpPr>
          <xdr:grpSpPr>
            <a:xfrm>
              <a:off x="2154115" y="4962525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079" name="Check Box 7" descr="Configure Region" hidden="1">
                <a:extLst>
                  <a:ext uri="{63B3BB69-23CF-44E3-9099-C40C66FF867C}">
                    <a14:compatExt spid="_x0000_s3079"/>
                  </a:ext>
                  <a:ext uri="{FF2B5EF4-FFF2-40B4-BE49-F238E27FC236}">
                    <a16:creationId xmlns:a16="http://schemas.microsoft.com/office/drawing/2014/main" id="{00000000-0008-0000-0100-000007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080" name="Check Box 8" hidden="1">
                <a:extLst>
                  <a:ext uri="{63B3BB69-23CF-44E3-9099-C40C66FF867C}">
                    <a14:compatExt spid="_x0000_s3080"/>
                  </a:ext>
                  <a:ext uri="{FF2B5EF4-FFF2-40B4-BE49-F238E27FC236}">
                    <a16:creationId xmlns:a16="http://schemas.microsoft.com/office/drawing/2014/main" id="{00000000-0008-0000-0100-000008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81" name="Drop Down 9" hidden="1">
                <a:extLst>
                  <a:ext uri="{63B3BB69-23CF-44E3-9099-C40C66FF867C}">
                    <a14:compatExt spid="_x0000_s3081"/>
                  </a:ext>
                  <a:ext uri="{FF2B5EF4-FFF2-40B4-BE49-F238E27FC236}">
                    <a16:creationId xmlns:a16="http://schemas.microsoft.com/office/drawing/2014/main" id="{00000000-0008-0000-0100-000009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82" name="Check Box 10" hidden="1">
                <a:extLst>
                  <a:ext uri="{63B3BB69-23CF-44E3-9099-C40C66FF867C}">
                    <a14:compatExt spid="_x0000_s3082"/>
                  </a:ext>
                  <a:ext uri="{FF2B5EF4-FFF2-40B4-BE49-F238E27FC236}">
                    <a16:creationId xmlns:a16="http://schemas.microsoft.com/office/drawing/2014/main" id="{00000000-0008-0000-0100-00000A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083" name="Drop Down 11" hidden="1">
                <a:extLst>
                  <a:ext uri="{63B3BB69-23CF-44E3-9099-C40C66FF867C}">
                    <a14:compatExt spid="_x0000_s3083"/>
                  </a:ext>
                  <a:ext uri="{FF2B5EF4-FFF2-40B4-BE49-F238E27FC236}">
                    <a16:creationId xmlns:a16="http://schemas.microsoft.com/office/drawing/2014/main" id="{00000000-0008-0000-0100-00000B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84" name="Check Box 12" hidden="1">
                <a:extLst>
                  <a:ext uri="{63B3BB69-23CF-44E3-9099-C40C66FF867C}">
                    <a14:compatExt spid="_x0000_s3084"/>
                  </a:ext>
                  <a:ext uri="{FF2B5EF4-FFF2-40B4-BE49-F238E27FC236}">
                    <a16:creationId xmlns:a16="http://schemas.microsoft.com/office/drawing/2014/main" id="{00000000-0008-0000-0100-00000C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085" name="Drop Down 13" hidden="1">
                <a:extLst>
                  <a:ext uri="{63B3BB69-23CF-44E3-9099-C40C66FF867C}">
                    <a14:compatExt spid="_x0000_s3085"/>
                  </a:ext>
                  <a:ext uri="{FF2B5EF4-FFF2-40B4-BE49-F238E27FC236}">
                    <a16:creationId xmlns:a16="http://schemas.microsoft.com/office/drawing/2014/main" id="{00000000-0008-0000-0100-00000D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</xdr:row>
          <xdr:rowOff>9525</xdr:rowOff>
        </xdr:from>
        <xdr:to>
          <xdr:col>2</xdr:col>
          <xdr:colOff>1771650</xdr:colOff>
          <xdr:row>3</xdr:row>
          <xdr:rowOff>0</xdr:rowOff>
        </xdr:to>
        <xdr:sp macro="" textlink="">
          <xdr:nvSpPr>
            <xdr:cNvPr id="3086" name="Check Box 14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1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MPU_NS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2</xdr:col>
          <xdr:colOff>1952625</xdr:colOff>
          <xdr:row>4</xdr:row>
          <xdr:rowOff>0</xdr:rowOff>
        </xdr:to>
        <xdr:sp macro="" textlink="">
          <xdr:nvSpPr>
            <xdr:cNvPr id="3087" name="Check Box 15" hidden="1">
              <a:extLst>
                <a:ext uri="{63B3BB69-23CF-44E3-9099-C40C66FF867C}">
                  <a14:compatExt spid="_x0000_s3087"/>
                </a:ext>
                <a:ext uri="{FF2B5EF4-FFF2-40B4-BE49-F238E27FC236}">
                  <a16:creationId xmlns:a16="http://schemas.microsoft.com/office/drawing/2014/main" id="{00000000-0008-0000-0100-00000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</xdr:row>
          <xdr:rowOff>9525</xdr:rowOff>
        </xdr:from>
        <xdr:to>
          <xdr:col>2</xdr:col>
          <xdr:colOff>1943100</xdr:colOff>
          <xdr:row>4</xdr:row>
          <xdr:rowOff>190500</xdr:rowOff>
        </xdr:to>
        <xdr:sp macro="" textlink="">
          <xdr:nvSpPr>
            <xdr:cNvPr id="3088" name="Check Box 16" hidden="1">
              <a:extLst>
                <a:ext uri="{63B3BB69-23CF-44E3-9099-C40C66FF867C}">
                  <a14:compatExt spid="_x0000_s3088"/>
                </a:ext>
                <a:ext uri="{FF2B5EF4-FFF2-40B4-BE49-F238E27FC236}">
                  <a16:creationId xmlns:a16="http://schemas.microsoft.com/office/drawing/2014/main" id="{00000000-0008-0000-0100-00001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</xdr:row>
          <xdr:rowOff>9525</xdr:rowOff>
        </xdr:from>
        <xdr:to>
          <xdr:col>2</xdr:col>
          <xdr:colOff>1771650</xdr:colOff>
          <xdr:row>7</xdr:row>
          <xdr:rowOff>0</xdr:rowOff>
        </xdr:to>
        <xdr:sp macro="" textlink="">
          <xdr:nvSpPr>
            <xdr:cNvPr id="3089" name="Check Box 17" descr="Configure Region" hidden="1">
              <a:extLst>
                <a:ext uri="{63B3BB69-23CF-44E3-9099-C40C66FF867C}">
                  <a14:compatExt spid="_x0000_s3089"/>
                </a:ext>
                <a:ext uri="{FF2B5EF4-FFF2-40B4-BE49-F238E27FC236}">
                  <a16:creationId xmlns:a16="http://schemas.microsoft.com/office/drawing/2014/main" id="{00000000-0008-0000-0100-00001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7</xdr:row>
          <xdr:rowOff>19050</xdr:rowOff>
        </xdr:from>
        <xdr:to>
          <xdr:col>2</xdr:col>
          <xdr:colOff>1581150</xdr:colOff>
          <xdr:row>7</xdr:row>
          <xdr:rowOff>180975</xdr:rowOff>
        </xdr:to>
        <xdr:sp macro="" textlink="">
          <xdr:nvSpPr>
            <xdr:cNvPr id="3090" name="Check Box 18" hidden="1">
              <a:extLst>
                <a:ext uri="{63B3BB69-23CF-44E3-9099-C40C66FF867C}">
                  <a14:compatExt spid="_x0000_s3090"/>
                </a:ext>
                <a:ext uri="{FF2B5EF4-FFF2-40B4-BE49-F238E27FC236}">
                  <a16:creationId xmlns:a16="http://schemas.microsoft.com/office/drawing/2014/main" id="{00000000-0008-0000-0100-00001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9525</xdr:rowOff>
        </xdr:from>
        <xdr:to>
          <xdr:col>2</xdr:col>
          <xdr:colOff>1171575</xdr:colOff>
          <xdr:row>10</xdr:row>
          <xdr:rowOff>171450</xdr:rowOff>
        </xdr:to>
        <xdr:sp macro="" textlink="">
          <xdr:nvSpPr>
            <xdr:cNvPr id="3091" name="Drop Down 19" hidden="1">
              <a:extLst>
                <a:ext uri="{63B3BB69-23CF-44E3-9099-C40C66FF867C}">
                  <a14:compatExt spid="_x0000_s3091"/>
                </a:ext>
                <a:ext uri="{FF2B5EF4-FFF2-40B4-BE49-F238E27FC236}">
                  <a16:creationId xmlns:a16="http://schemas.microsoft.com/office/drawing/2014/main" id="{00000000-0008-0000-0100-00001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11</xdr:row>
          <xdr:rowOff>28575</xdr:rowOff>
        </xdr:from>
        <xdr:to>
          <xdr:col>2</xdr:col>
          <xdr:colOff>1590675</xdr:colOff>
          <xdr:row>11</xdr:row>
          <xdr:rowOff>161925</xdr:rowOff>
        </xdr:to>
        <xdr:sp macro="" textlink="">
          <xdr:nvSpPr>
            <xdr:cNvPr id="3092" name="Check Box 20" hidden="1">
              <a:extLst>
                <a:ext uri="{63B3BB69-23CF-44E3-9099-C40C66FF867C}">
                  <a14:compatExt spid="_x0000_s3092"/>
                </a:ext>
                <a:ext uri="{FF2B5EF4-FFF2-40B4-BE49-F238E27FC236}">
                  <a16:creationId xmlns:a16="http://schemas.microsoft.com/office/drawing/2014/main" id="{00000000-0008-0000-0100-00001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14</xdr:row>
          <xdr:rowOff>28575</xdr:rowOff>
        </xdr:from>
        <xdr:to>
          <xdr:col>2</xdr:col>
          <xdr:colOff>1200150</xdr:colOff>
          <xdr:row>14</xdr:row>
          <xdr:rowOff>180975</xdr:rowOff>
        </xdr:to>
        <xdr:sp macro="" textlink="">
          <xdr:nvSpPr>
            <xdr:cNvPr id="3093" name="Drop Down 21" hidden="1">
              <a:extLst>
                <a:ext uri="{63B3BB69-23CF-44E3-9099-C40C66FF867C}">
                  <a14:compatExt spid="_x0000_s3093"/>
                </a:ext>
                <a:ext uri="{FF2B5EF4-FFF2-40B4-BE49-F238E27FC236}">
                  <a16:creationId xmlns:a16="http://schemas.microsoft.com/office/drawing/2014/main" id="{00000000-0008-0000-0100-00001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4" name="Check Box 22" hidden="1">
              <a:extLst>
                <a:ext uri="{63B3BB69-23CF-44E3-9099-C40C66FF867C}">
                  <a14:compatExt spid="_x0000_s3094"/>
                </a:ext>
                <a:ext uri="{FF2B5EF4-FFF2-40B4-BE49-F238E27FC236}">
                  <a16:creationId xmlns:a16="http://schemas.microsoft.com/office/drawing/2014/main" id="{00000000-0008-0000-0100-00001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5" name="Drop Down 23" hidden="1">
              <a:extLst>
                <a:ext uri="{63B3BB69-23CF-44E3-9099-C40C66FF867C}">
                  <a14:compatExt spid="_x0000_s3095"/>
                </a:ext>
                <a:ext uri="{FF2B5EF4-FFF2-40B4-BE49-F238E27FC236}">
                  <a16:creationId xmlns:a16="http://schemas.microsoft.com/office/drawing/2014/main" id="{00000000-0008-0000-0100-00001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6" name="Drop Down 24" hidden="1">
              <a:extLst>
                <a:ext uri="{63B3BB69-23CF-44E3-9099-C40C66FF867C}">
                  <a14:compatExt spid="_x0000_s3096"/>
                </a:ext>
                <a:ext uri="{FF2B5EF4-FFF2-40B4-BE49-F238E27FC236}">
                  <a16:creationId xmlns:a16="http://schemas.microsoft.com/office/drawing/2014/main" id="{00000000-0008-0000-0100-00001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7" name="Check Box 25" hidden="1">
              <a:extLst>
                <a:ext uri="{63B3BB69-23CF-44E3-9099-C40C66FF867C}">
                  <a14:compatExt spid="_x0000_s3097"/>
                </a:ext>
                <a:ext uri="{FF2B5EF4-FFF2-40B4-BE49-F238E27FC236}">
                  <a16:creationId xmlns:a16="http://schemas.microsoft.com/office/drawing/2014/main" id="{00000000-0008-0000-0100-00001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8" name="Check Box 26" hidden="1">
              <a:extLst>
                <a:ext uri="{63B3BB69-23CF-44E3-9099-C40C66FF867C}">
                  <a14:compatExt spid="_x0000_s3098"/>
                </a:ext>
                <a:ext uri="{FF2B5EF4-FFF2-40B4-BE49-F238E27FC236}">
                  <a16:creationId xmlns:a16="http://schemas.microsoft.com/office/drawing/2014/main" id="{00000000-0008-0000-0100-00001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099" name="Check Box 27" hidden="1">
              <a:extLst>
                <a:ext uri="{63B3BB69-23CF-44E3-9099-C40C66FF867C}">
                  <a14:compatExt spid="_x0000_s3099"/>
                </a:ext>
                <a:ext uri="{FF2B5EF4-FFF2-40B4-BE49-F238E27FC236}">
                  <a16:creationId xmlns:a16="http://schemas.microsoft.com/office/drawing/2014/main" id="{00000000-0008-0000-0100-00001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0" name="Drop Down 28" hidden="1">
              <a:extLst>
                <a:ext uri="{63B3BB69-23CF-44E3-9099-C40C66FF867C}">
                  <a14:compatExt spid="_x0000_s3100"/>
                </a:ext>
                <a:ext uri="{FF2B5EF4-FFF2-40B4-BE49-F238E27FC236}">
                  <a16:creationId xmlns:a16="http://schemas.microsoft.com/office/drawing/2014/main" id="{00000000-0008-0000-0100-00001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1" name="Drop Down 29" hidden="1">
              <a:extLst>
                <a:ext uri="{63B3BB69-23CF-44E3-9099-C40C66FF867C}">
                  <a14:compatExt spid="_x0000_s3101"/>
                </a:ext>
                <a:ext uri="{FF2B5EF4-FFF2-40B4-BE49-F238E27FC236}">
                  <a16:creationId xmlns:a16="http://schemas.microsoft.com/office/drawing/2014/main" id="{00000000-0008-0000-0100-00001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2" name="Check Box 30" hidden="1">
              <a:extLst>
                <a:ext uri="{63B3BB69-23CF-44E3-9099-C40C66FF867C}">
                  <a14:compatExt spid="_x0000_s3102"/>
                </a:ext>
                <a:ext uri="{FF2B5EF4-FFF2-40B4-BE49-F238E27FC236}">
                  <a16:creationId xmlns:a16="http://schemas.microsoft.com/office/drawing/2014/main" id="{00000000-0008-0000-0100-00001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3" name="Check Box 31" hidden="1">
              <a:extLst>
                <a:ext uri="{63B3BB69-23CF-44E3-9099-C40C66FF867C}">
                  <a14:compatExt spid="_x0000_s3103"/>
                </a:ext>
                <a:ext uri="{FF2B5EF4-FFF2-40B4-BE49-F238E27FC236}">
                  <a16:creationId xmlns:a16="http://schemas.microsoft.com/office/drawing/2014/main" id="{00000000-0008-0000-0100-00001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4" name="Check Box 32" hidden="1">
              <a:extLst>
                <a:ext uri="{63B3BB69-23CF-44E3-9099-C40C66FF867C}">
                  <a14:compatExt spid="_x0000_s3104"/>
                </a:ext>
                <a:ext uri="{FF2B5EF4-FFF2-40B4-BE49-F238E27FC236}">
                  <a16:creationId xmlns:a16="http://schemas.microsoft.com/office/drawing/2014/main" id="{00000000-0008-0000-0100-00002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5" name="Drop Down 33" hidden="1">
              <a:extLst>
                <a:ext uri="{63B3BB69-23CF-44E3-9099-C40C66FF867C}">
                  <a14:compatExt spid="_x0000_s3105"/>
                </a:ext>
                <a:ext uri="{FF2B5EF4-FFF2-40B4-BE49-F238E27FC236}">
                  <a16:creationId xmlns:a16="http://schemas.microsoft.com/office/drawing/2014/main" id="{00000000-0008-0000-0100-00002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6" name="Drop Down 34" hidden="1">
              <a:extLst>
                <a:ext uri="{63B3BB69-23CF-44E3-9099-C40C66FF867C}">
                  <a14:compatExt spid="_x0000_s3106"/>
                </a:ext>
                <a:ext uri="{FF2B5EF4-FFF2-40B4-BE49-F238E27FC236}">
                  <a16:creationId xmlns:a16="http://schemas.microsoft.com/office/drawing/2014/main" id="{00000000-0008-0000-0100-00002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7" name="Check Box 35" hidden="1">
              <a:extLst>
                <a:ext uri="{63B3BB69-23CF-44E3-9099-C40C66FF867C}">
                  <a14:compatExt spid="_x0000_s3107"/>
                </a:ext>
                <a:ext uri="{FF2B5EF4-FFF2-40B4-BE49-F238E27FC236}">
                  <a16:creationId xmlns:a16="http://schemas.microsoft.com/office/drawing/2014/main" id="{00000000-0008-0000-0100-00002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8" name="Check Box 36" hidden="1">
              <a:extLst>
                <a:ext uri="{63B3BB69-23CF-44E3-9099-C40C66FF867C}">
                  <a14:compatExt spid="_x0000_s3108"/>
                </a:ext>
                <a:ext uri="{FF2B5EF4-FFF2-40B4-BE49-F238E27FC236}">
                  <a16:creationId xmlns:a16="http://schemas.microsoft.com/office/drawing/2014/main" id="{00000000-0008-0000-0100-00002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09" name="Check Box 37" hidden="1">
              <a:extLst>
                <a:ext uri="{63B3BB69-23CF-44E3-9099-C40C66FF867C}">
                  <a14:compatExt spid="_x0000_s3109"/>
                </a:ext>
                <a:ext uri="{FF2B5EF4-FFF2-40B4-BE49-F238E27FC236}">
                  <a16:creationId xmlns:a16="http://schemas.microsoft.com/office/drawing/2014/main" id="{00000000-0008-0000-0100-00002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0" name="Drop Down 38" hidden="1">
              <a:extLst>
                <a:ext uri="{63B3BB69-23CF-44E3-9099-C40C66FF867C}">
                  <a14:compatExt spid="_x0000_s3110"/>
                </a:ext>
                <a:ext uri="{FF2B5EF4-FFF2-40B4-BE49-F238E27FC236}">
                  <a16:creationId xmlns:a16="http://schemas.microsoft.com/office/drawing/2014/main" id="{00000000-0008-0000-0100-00002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1" name="Drop Down 39" hidden="1">
              <a:extLst>
                <a:ext uri="{63B3BB69-23CF-44E3-9099-C40C66FF867C}">
                  <a14:compatExt spid="_x0000_s3111"/>
                </a:ext>
                <a:ext uri="{FF2B5EF4-FFF2-40B4-BE49-F238E27FC236}">
                  <a16:creationId xmlns:a16="http://schemas.microsoft.com/office/drawing/2014/main" id="{00000000-0008-0000-0100-00002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2" name="Check Box 40" hidden="1">
              <a:extLst>
                <a:ext uri="{63B3BB69-23CF-44E3-9099-C40C66FF867C}">
                  <a14:compatExt spid="_x0000_s3112"/>
                </a:ext>
                <a:ext uri="{FF2B5EF4-FFF2-40B4-BE49-F238E27FC236}">
                  <a16:creationId xmlns:a16="http://schemas.microsoft.com/office/drawing/2014/main" id="{00000000-0008-0000-0100-00002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3" name="Check Box 41" hidden="1">
              <a:extLst>
                <a:ext uri="{63B3BB69-23CF-44E3-9099-C40C66FF867C}">
                  <a14:compatExt spid="_x0000_s3113"/>
                </a:ext>
                <a:ext uri="{FF2B5EF4-FFF2-40B4-BE49-F238E27FC236}">
                  <a16:creationId xmlns:a16="http://schemas.microsoft.com/office/drawing/2014/main" id="{00000000-0008-0000-0100-00002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4" name="Check Box 42" hidden="1">
              <a:extLst>
                <a:ext uri="{63B3BB69-23CF-44E3-9099-C40C66FF867C}">
                  <a14:compatExt spid="_x0000_s3114"/>
                </a:ext>
                <a:ext uri="{FF2B5EF4-FFF2-40B4-BE49-F238E27FC236}">
                  <a16:creationId xmlns:a16="http://schemas.microsoft.com/office/drawing/2014/main" id="{00000000-0008-0000-0100-00002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5" name="Drop Down 43" hidden="1">
              <a:extLst>
                <a:ext uri="{63B3BB69-23CF-44E3-9099-C40C66FF867C}">
                  <a14:compatExt spid="_x0000_s3115"/>
                </a:ext>
                <a:ext uri="{FF2B5EF4-FFF2-40B4-BE49-F238E27FC236}">
                  <a16:creationId xmlns:a16="http://schemas.microsoft.com/office/drawing/2014/main" id="{00000000-0008-0000-0100-00002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6" name="Drop Down 44" hidden="1">
              <a:extLst>
                <a:ext uri="{63B3BB69-23CF-44E3-9099-C40C66FF867C}">
                  <a14:compatExt spid="_x0000_s3116"/>
                </a:ext>
                <a:ext uri="{FF2B5EF4-FFF2-40B4-BE49-F238E27FC236}">
                  <a16:creationId xmlns:a16="http://schemas.microsoft.com/office/drawing/2014/main" id="{00000000-0008-0000-0100-00002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7" name="Check Box 45" hidden="1">
              <a:extLst>
                <a:ext uri="{63B3BB69-23CF-44E3-9099-C40C66FF867C}">
                  <a14:compatExt spid="_x0000_s3117"/>
                </a:ext>
                <a:ext uri="{FF2B5EF4-FFF2-40B4-BE49-F238E27FC236}">
                  <a16:creationId xmlns:a16="http://schemas.microsoft.com/office/drawing/2014/main" id="{00000000-0008-0000-0100-00002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8" name="Check Box 46" hidden="1">
              <a:extLst>
                <a:ext uri="{63B3BB69-23CF-44E3-9099-C40C66FF867C}">
                  <a14:compatExt spid="_x0000_s3118"/>
                </a:ext>
                <a:ext uri="{FF2B5EF4-FFF2-40B4-BE49-F238E27FC236}">
                  <a16:creationId xmlns:a16="http://schemas.microsoft.com/office/drawing/2014/main" id="{00000000-0008-0000-0100-00002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19" name="Check Box 47" hidden="1">
              <a:extLst>
                <a:ext uri="{63B3BB69-23CF-44E3-9099-C40C66FF867C}">
                  <a14:compatExt spid="_x0000_s3119"/>
                </a:ext>
                <a:ext uri="{FF2B5EF4-FFF2-40B4-BE49-F238E27FC236}">
                  <a16:creationId xmlns:a16="http://schemas.microsoft.com/office/drawing/2014/main" id="{00000000-0008-0000-0100-00002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20" name="Drop Down 48" hidden="1">
              <a:extLst>
                <a:ext uri="{63B3BB69-23CF-44E3-9099-C40C66FF867C}">
                  <a14:compatExt spid="_x0000_s3120"/>
                </a:ext>
                <a:ext uri="{FF2B5EF4-FFF2-40B4-BE49-F238E27FC236}">
                  <a16:creationId xmlns:a16="http://schemas.microsoft.com/office/drawing/2014/main" id="{00000000-0008-0000-01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21" name="Drop Down 49" hidden="1">
              <a:extLst>
                <a:ext uri="{63B3BB69-23CF-44E3-9099-C40C66FF867C}">
                  <a14:compatExt spid="_x0000_s3121"/>
                </a:ext>
                <a:ext uri="{FF2B5EF4-FFF2-40B4-BE49-F238E27FC236}">
                  <a16:creationId xmlns:a16="http://schemas.microsoft.com/office/drawing/2014/main" id="{00000000-0008-0000-0100-00003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22" name="Check Box 50" hidden="1">
              <a:extLst>
                <a:ext uri="{63B3BB69-23CF-44E3-9099-C40C66FF867C}">
                  <a14:compatExt spid="_x0000_s3122"/>
                </a:ext>
                <a:ext uri="{FF2B5EF4-FFF2-40B4-BE49-F238E27FC236}">
                  <a16:creationId xmlns:a16="http://schemas.microsoft.com/office/drawing/2014/main" id="{00000000-0008-0000-01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3123" name="Check Box 51" hidden="1">
              <a:extLst>
                <a:ext uri="{63B3BB69-23CF-44E3-9099-C40C66FF867C}">
                  <a14:compatExt spid="_x0000_s3123"/>
                </a:ext>
                <a:ext uri="{FF2B5EF4-FFF2-40B4-BE49-F238E27FC236}">
                  <a16:creationId xmlns:a16="http://schemas.microsoft.com/office/drawing/2014/main" id="{00000000-0008-0000-01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12</xdr:row>
          <xdr:rowOff>28575</xdr:rowOff>
        </xdr:from>
        <xdr:to>
          <xdr:col>2</xdr:col>
          <xdr:colOff>1590675</xdr:colOff>
          <xdr:row>12</xdr:row>
          <xdr:rowOff>161925</xdr:rowOff>
        </xdr:to>
        <xdr:sp macro="" textlink="">
          <xdr:nvSpPr>
            <xdr:cNvPr id="3124" name="Check Box 52" hidden="1">
              <a:extLst>
                <a:ext uri="{63B3BB69-23CF-44E3-9099-C40C66FF867C}">
                  <a14:compatExt spid="_x0000_s3124"/>
                </a:ext>
                <a:ext uri="{FF2B5EF4-FFF2-40B4-BE49-F238E27FC236}">
                  <a16:creationId xmlns:a16="http://schemas.microsoft.com/office/drawing/2014/main" id="{00000000-0008-0000-01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PXN             v8.1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</xdr:row>
          <xdr:rowOff>9525</xdr:rowOff>
        </xdr:from>
        <xdr:to>
          <xdr:col>2</xdr:col>
          <xdr:colOff>1771650</xdr:colOff>
          <xdr:row>17</xdr:row>
          <xdr:rowOff>0</xdr:rowOff>
        </xdr:to>
        <xdr:sp macro="" textlink="">
          <xdr:nvSpPr>
            <xdr:cNvPr id="3125" name="Check Box 53" descr="Configure Region" hidden="1">
              <a:extLst>
                <a:ext uri="{63B3BB69-23CF-44E3-9099-C40C66FF867C}">
                  <a14:compatExt spid="_x0000_s3125"/>
                </a:ext>
                <a:ext uri="{FF2B5EF4-FFF2-40B4-BE49-F238E27FC236}">
                  <a16:creationId xmlns:a16="http://schemas.microsoft.com/office/drawing/2014/main" id="{00000000-0008-0000-0100-00003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</xdr:row>
          <xdr:rowOff>19050</xdr:rowOff>
        </xdr:from>
        <xdr:to>
          <xdr:col>2</xdr:col>
          <xdr:colOff>1581150</xdr:colOff>
          <xdr:row>17</xdr:row>
          <xdr:rowOff>180975</xdr:rowOff>
        </xdr:to>
        <xdr:sp macro="" textlink="">
          <xdr:nvSpPr>
            <xdr:cNvPr id="3126" name="Check Box 54" hidden="1">
              <a:extLst>
                <a:ext uri="{63B3BB69-23CF-44E3-9099-C40C66FF867C}">
                  <a14:compatExt spid="_x0000_s3126"/>
                </a:ext>
                <a:ext uri="{FF2B5EF4-FFF2-40B4-BE49-F238E27FC236}">
                  <a16:creationId xmlns:a16="http://schemas.microsoft.com/office/drawing/2014/main" id="{00000000-0008-0000-0100-00003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20</xdr:row>
          <xdr:rowOff>9525</xdr:rowOff>
        </xdr:from>
        <xdr:to>
          <xdr:col>2</xdr:col>
          <xdr:colOff>1171575</xdr:colOff>
          <xdr:row>20</xdr:row>
          <xdr:rowOff>171450</xdr:rowOff>
        </xdr:to>
        <xdr:sp macro="" textlink="">
          <xdr:nvSpPr>
            <xdr:cNvPr id="3127" name="Drop Down 55" hidden="1">
              <a:extLst>
                <a:ext uri="{63B3BB69-23CF-44E3-9099-C40C66FF867C}">
                  <a14:compatExt spid="_x0000_s3127"/>
                </a:ext>
                <a:ext uri="{FF2B5EF4-FFF2-40B4-BE49-F238E27FC236}">
                  <a16:creationId xmlns:a16="http://schemas.microsoft.com/office/drawing/2014/main" id="{00000000-0008-0000-0100-00003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21</xdr:row>
          <xdr:rowOff>28575</xdr:rowOff>
        </xdr:from>
        <xdr:to>
          <xdr:col>2</xdr:col>
          <xdr:colOff>1590675</xdr:colOff>
          <xdr:row>21</xdr:row>
          <xdr:rowOff>161925</xdr:rowOff>
        </xdr:to>
        <xdr:sp macro="" textlink="">
          <xdr:nvSpPr>
            <xdr:cNvPr id="3128" name="Check Box 56" hidden="1">
              <a:extLst>
                <a:ext uri="{63B3BB69-23CF-44E3-9099-C40C66FF867C}">
                  <a14:compatExt spid="_x0000_s3128"/>
                </a:ext>
                <a:ext uri="{FF2B5EF4-FFF2-40B4-BE49-F238E27FC236}">
                  <a16:creationId xmlns:a16="http://schemas.microsoft.com/office/drawing/2014/main" id="{00000000-0008-0000-0100-00003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24</xdr:row>
          <xdr:rowOff>28575</xdr:rowOff>
        </xdr:from>
        <xdr:to>
          <xdr:col>2</xdr:col>
          <xdr:colOff>1200150</xdr:colOff>
          <xdr:row>24</xdr:row>
          <xdr:rowOff>180975</xdr:rowOff>
        </xdr:to>
        <xdr:sp macro="" textlink="">
          <xdr:nvSpPr>
            <xdr:cNvPr id="3129" name="Drop Down 57" hidden="1">
              <a:extLst>
                <a:ext uri="{63B3BB69-23CF-44E3-9099-C40C66FF867C}">
                  <a14:compatExt spid="_x0000_s3129"/>
                </a:ext>
                <a:ext uri="{FF2B5EF4-FFF2-40B4-BE49-F238E27FC236}">
                  <a16:creationId xmlns:a16="http://schemas.microsoft.com/office/drawing/2014/main" id="{00000000-0008-0000-0100-00003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22</xdr:row>
          <xdr:rowOff>28575</xdr:rowOff>
        </xdr:from>
        <xdr:to>
          <xdr:col>2</xdr:col>
          <xdr:colOff>1590675</xdr:colOff>
          <xdr:row>22</xdr:row>
          <xdr:rowOff>161925</xdr:rowOff>
        </xdr:to>
        <xdr:sp macro="" textlink="">
          <xdr:nvSpPr>
            <xdr:cNvPr id="3130" name="Check Box 58" hidden="1">
              <a:extLst>
                <a:ext uri="{63B3BB69-23CF-44E3-9099-C40C66FF867C}">
                  <a14:compatExt spid="_x0000_s3130"/>
                </a:ext>
                <a:ext uri="{FF2B5EF4-FFF2-40B4-BE49-F238E27FC236}">
                  <a16:creationId xmlns:a16="http://schemas.microsoft.com/office/drawing/2014/main" id="{00000000-0008-0000-0100-00003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PXN             v8.1 only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28575</xdr:rowOff>
        </xdr:from>
        <xdr:to>
          <xdr:col>2</xdr:col>
          <xdr:colOff>1200150</xdr:colOff>
          <xdr:row>23</xdr:row>
          <xdr:rowOff>180975</xdr:rowOff>
        </xdr:to>
        <xdr:sp macro="" textlink="">
          <xdr:nvSpPr>
            <xdr:cNvPr id="3131" name="Drop Down 59" hidden="1">
              <a:extLst>
                <a:ext uri="{63B3BB69-23CF-44E3-9099-C40C66FF867C}">
                  <a14:compatExt spid="_x0000_s3131"/>
                </a:ext>
                <a:ext uri="{FF2B5EF4-FFF2-40B4-BE49-F238E27FC236}">
                  <a16:creationId xmlns:a16="http://schemas.microsoft.com/office/drawing/2014/main" id="{00000000-0008-0000-0100-00003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28575</xdr:rowOff>
        </xdr:from>
        <xdr:to>
          <xdr:col>2</xdr:col>
          <xdr:colOff>1200150</xdr:colOff>
          <xdr:row>13</xdr:row>
          <xdr:rowOff>180975</xdr:rowOff>
        </xdr:to>
        <xdr:sp macro="" textlink="">
          <xdr:nvSpPr>
            <xdr:cNvPr id="3132" name="Drop Down 60" hidden="1">
              <a:extLst>
                <a:ext uri="{63B3BB69-23CF-44E3-9099-C40C66FF867C}">
                  <a14:compatExt spid="_x0000_s3132"/>
                </a:ext>
                <a:ext uri="{FF2B5EF4-FFF2-40B4-BE49-F238E27FC236}">
                  <a16:creationId xmlns:a16="http://schemas.microsoft.com/office/drawing/2014/main" id="{00000000-0008-0000-0100-00003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36</xdr:row>
          <xdr:rowOff>9525</xdr:rowOff>
        </xdr:from>
        <xdr:to>
          <xdr:col>2</xdr:col>
          <xdr:colOff>1771650</xdr:colOff>
          <xdr:row>44</xdr:row>
          <xdr:rowOff>180975</xdr:rowOff>
        </xdr:to>
        <xdr:grpSp>
          <xdr:nvGrpSpPr>
            <xdr:cNvPr id="3" name="Gruppieren 2">
              <a:extLst>
                <a:ext uri="{FF2B5EF4-FFF2-40B4-BE49-F238E27FC236}">
                  <a16:creationId xmlns:a16="http://schemas.microsoft.com/office/drawing/2014/main" id="{AACD6248-9B6A-41F6-9148-D47CC4AF19E8}"/>
                </a:ext>
              </a:extLst>
            </xdr:cNvPr>
            <xdr:cNvGrpSpPr/>
          </xdr:nvGrpSpPr>
          <xdr:grpSpPr>
            <a:xfrm>
              <a:off x="2154115" y="6801583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33" name="Check Box 61" descr="Configure Region" hidden="1">
                <a:extLst>
                  <a:ext uri="{63B3BB69-23CF-44E3-9099-C40C66FF867C}">
                    <a14:compatExt spid="_x0000_s3133"/>
                  </a:ext>
                  <a:ext uri="{FF2B5EF4-FFF2-40B4-BE49-F238E27FC236}">
                    <a16:creationId xmlns:a16="http://schemas.microsoft.com/office/drawing/2014/main" id="{00000000-0008-0000-0100-00003D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34" name="Check Box 62" hidden="1">
                <a:extLst>
                  <a:ext uri="{63B3BB69-23CF-44E3-9099-C40C66FF867C}">
                    <a14:compatExt spid="_x0000_s3134"/>
                  </a:ext>
                  <a:ext uri="{FF2B5EF4-FFF2-40B4-BE49-F238E27FC236}">
                    <a16:creationId xmlns:a16="http://schemas.microsoft.com/office/drawing/2014/main" id="{00000000-0008-0000-0100-00003E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35" name="Drop Down 63" hidden="1">
                <a:extLst>
                  <a:ext uri="{63B3BB69-23CF-44E3-9099-C40C66FF867C}">
                    <a14:compatExt spid="_x0000_s3135"/>
                  </a:ext>
                  <a:ext uri="{FF2B5EF4-FFF2-40B4-BE49-F238E27FC236}">
                    <a16:creationId xmlns:a16="http://schemas.microsoft.com/office/drawing/2014/main" id="{00000000-0008-0000-0100-00003F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36" name="Check Box 64" hidden="1">
                <a:extLst>
                  <a:ext uri="{63B3BB69-23CF-44E3-9099-C40C66FF867C}">
                    <a14:compatExt spid="_x0000_s3136"/>
                  </a:ext>
                  <a:ext uri="{FF2B5EF4-FFF2-40B4-BE49-F238E27FC236}">
                    <a16:creationId xmlns:a16="http://schemas.microsoft.com/office/drawing/2014/main" id="{00000000-0008-0000-0100-000040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37" name="Drop Down 65" hidden="1">
                <a:extLst>
                  <a:ext uri="{63B3BB69-23CF-44E3-9099-C40C66FF867C}">
                    <a14:compatExt spid="_x0000_s3137"/>
                  </a:ext>
                  <a:ext uri="{FF2B5EF4-FFF2-40B4-BE49-F238E27FC236}">
                    <a16:creationId xmlns:a16="http://schemas.microsoft.com/office/drawing/2014/main" id="{00000000-0008-0000-0100-000041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38" name="Check Box 66" hidden="1">
                <a:extLst>
                  <a:ext uri="{63B3BB69-23CF-44E3-9099-C40C66FF867C}">
                    <a14:compatExt spid="_x0000_s3138"/>
                  </a:ext>
                  <a:ext uri="{FF2B5EF4-FFF2-40B4-BE49-F238E27FC236}">
                    <a16:creationId xmlns:a16="http://schemas.microsoft.com/office/drawing/2014/main" id="{00000000-0008-0000-0100-000042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39" name="Drop Down 67" hidden="1">
                <a:extLst>
                  <a:ext uri="{63B3BB69-23CF-44E3-9099-C40C66FF867C}">
                    <a14:compatExt spid="_x0000_s3139"/>
                  </a:ext>
                  <a:ext uri="{FF2B5EF4-FFF2-40B4-BE49-F238E27FC236}">
                    <a16:creationId xmlns:a16="http://schemas.microsoft.com/office/drawing/2014/main" id="{00000000-0008-0000-0100-000043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46</xdr:row>
          <xdr:rowOff>9525</xdr:rowOff>
        </xdr:from>
        <xdr:to>
          <xdr:col>2</xdr:col>
          <xdr:colOff>1771650</xdr:colOff>
          <xdr:row>54</xdr:row>
          <xdr:rowOff>180975</xdr:rowOff>
        </xdr:to>
        <xdr:grpSp>
          <xdr:nvGrpSpPr>
            <xdr:cNvPr id="4" name="Gruppieren 3">
              <a:extLst>
                <a:ext uri="{FF2B5EF4-FFF2-40B4-BE49-F238E27FC236}">
                  <a16:creationId xmlns:a16="http://schemas.microsoft.com/office/drawing/2014/main" id="{F9D3D798-89AA-49E7-88E3-31B8C1CF20D1}"/>
                </a:ext>
              </a:extLst>
            </xdr:cNvPr>
            <xdr:cNvGrpSpPr/>
          </xdr:nvGrpSpPr>
          <xdr:grpSpPr>
            <a:xfrm>
              <a:off x="2154115" y="8640640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40" name="Check Box 68" descr="Configure Region" hidden="1">
                <a:extLst>
                  <a:ext uri="{63B3BB69-23CF-44E3-9099-C40C66FF867C}">
                    <a14:compatExt spid="_x0000_s3140"/>
                  </a:ext>
                  <a:ext uri="{FF2B5EF4-FFF2-40B4-BE49-F238E27FC236}">
                    <a16:creationId xmlns:a16="http://schemas.microsoft.com/office/drawing/2014/main" id="{00000000-0008-0000-0100-000044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41" name="Check Box 69" hidden="1">
                <a:extLst>
                  <a:ext uri="{63B3BB69-23CF-44E3-9099-C40C66FF867C}">
                    <a14:compatExt spid="_x0000_s3141"/>
                  </a:ext>
                  <a:ext uri="{FF2B5EF4-FFF2-40B4-BE49-F238E27FC236}">
                    <a16:creationId xmlns:a16="http://schemas.microsoft.com/office/drawing/2014/main" id="{00000000-0008-0000-0100-000045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42" name="Drop Down 70" hidden="1">
                <a:extLst>
                  <a:ext uri="{63B3BB69-23CF-44E3-9099-C40C66FF867C}">
                    <a14:compatExt spid="_x0000_s3142"/>
                  </a:ext>
                  <a:ext uri="{FF2B5EF4-FFF2-40B4-BE49-F238E27FC236}">
                    <a16:creationId xmlns:a16="http://schemas.microsoft.com/office/drawing/2014/main" id="{00000000-0008-0000-0100-000046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43" name="Check Box 71" hidden="1">
                <a:extLst>
                  <a:ext uri="{63B3BB69-23CF-44E3-9099-C40C66FF867C}">
                    <a14:compatExt spid="_x0000_s3143"/>
                  </a:ext>
                  <a:ext uri="{FF2B5EF4-FFF2-40B4-BE49-F238E27FC236}">
                    <a16:creationId xmlns:a16="http://schemas.microsoft.com/office/drawing/2014/main" id="{00000000-0008-0000-0100-000047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44" name="Drop Down 72" hidden="1">
                <a:extLst>
                  <a:ext uri="{63B3BB69-23CF-44E3-9099-C40C66FF867C}">
                    <a14:compatExt spid="_x0000_s3144"/>
                  </a:ext>
                  <a:ext uri="{FF2B5EF4-FFF2-40B4-BE49-F238E27FC236}">
                    <a16:creationId xmlns:a16="http://schemas.microsoft.com/office/drawing/2014/main" id="{00000000-0008-0000-0100-000048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45" name="Check Box 73" hidden="1">
                <a:extLst>
                  <a:ext uri="{63B3BB69-23CF-44E3-9099-C40C66FF867C}">
                    <a14:compatExt spid="_x0000_s3145"/>
                  </a:ext>
                  <a:ext uri="{FF2B5EF4-FFF2-40B4-BE49-F238E27FC236}">
                    <a16:creationId xmlns:a16="http://schemas.microsoft.com/office/drawing/2014/main" id="{00000000-0008-0000-0100-000049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46" name="Drop Down 74" hidden="1">
                <a:extLst>
                  <a:ext uri="{63B3BB69-23CF-44E3-9099-C40C66FF867C}">
                    <a14:compatExt spid="_x0000_s3146"/>
                  </a:ext>
                  <a:ext uri="{FF2B5EF4-FFF2-40B4-BE49-F238E27FC236}">
                    <a16:creationId xmlns:a16="http://schemas.microsoft.com/office/drawing/2014/main" id="{00000000-0008-0000-0100-00004A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56</xdr:row>
          <xdr:rowOff>9525</xdr:rowOff>
        </xdr:from>
        <xdr:to>
          <xdr:col>2</xdr:col>
          <xdr:colOff>1771650</xdr:colOff>
          <xdr:row>64</xdr:row>
          <xdr:rowOff>180975</xdr:rowOff>
        </xdr:to>
        <xdr:grpSp>
          <xdr:nvGrpSpPr>
            <xdr:cNvPr id="5" name="Gruppieren 4">
              <a:extLst>
                <a:ext uri="{FF2B5EF4-FFF2-40B4-BE49-F238E27FC236}">
                  <a16:creationId xmlns:a16="http://schemas.microsoft.com/office/drawing/2014/main" id="{8435C2DA-AB82-471B-9C8E-3466F6272FB6}"/>
                </a:ext>
              </a:extLst>
            </xdr:cNvPr>
            <xdr:cNvGrpSpPr/>
          </xdr:nvGrpSpPr>
          <xdr:grpSpPr>
            <a:xfrm>
              <a:off x="2154115" y="10479698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47" name="Check Box 75" descr="Configure Region" hidden="1">
                <a:extLst>
                  <a:ext uri="{63B3BB69-23CF-44E3-9099-C40C66FF867C}">
                    <a14:compatExt spid="_x0000_s3147"/>
                  </a:ext>
                  <a:ext uri="{FF2B5EF4-FFF2-40B4-BE49-F238E27FC236}">
                    <a16:creationId xmlns:a16="http://schemas.microsoft.com/office/drawing/2014/main" id="{00000000-0008-0000-0100-00004B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48" name="Check Box 76" hidden="1">
                <a:extLst>
                  <a:ext uri="{63B3BB69-23CF-44E3-9099-C40C66FF867C}">
                    <a14:compatExt spid="_x0000_s3148"/>
                  </a:ext>
                  <a:ext uri="{FF2B5EF4-FFF2-40B4-BE49-F238E27FC236}">
                    <a16:creationId xmlns:a16="http://schemas.microsoft.com/office/drawing/2014/main" id="{00000000-0008-0000-0100-00004C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49" name="Drop Down 77" hidden="1">
                <a:extLst>
                  <a:ext uri="{63B3BB69-23CF-44E3-9099-C40C66FF867C}">
                    <a14:compatExt spid="_x0000_s3149"/>
                  </a:ext>
                  <a:ext uri="{FF2B5EF4-FFF2-40B4-BE49-F238E27FC236}">
                    <a16:creationId xmlns:a16="http://schemas.microsoft.com/office/drawing/2014/main" id="{00000000-0008-0000-0100-00004D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0" name="Check Box 78" hidden="1">
                <a:extLst>
                  <a:ext uri="{63B3BB69-23CF-44E3-9099-C40C66FF867C}">
                    <a14:compatExt spid="_x0000_s3150"/>
                  </a:ext>
                  <a:ext uri="{FF2B5EF4-FFF2-40B4-BE49-F238E27FC236}">
                    <a16:creationId xmlns:a16="http://schemas.microsoft.com/office/drawing/2014/main" id="{00000000-0008-0000-0100-00004E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51" name="Drop Down 79" hidden="1">
                <a:extLst>
                  <a:ext uri="{63B3BB69-23CF-44E3-9099-C40C66FF867C}">
                    <a14:compatExt spid="_x0000_s3151"/>
                  </a:ext>
                  <a:ext uri="{FF2B5EF4-FFF2-40B4-BE49-F238E27FC236}">
                    <a16:creationId xmlns:a16="http://schemas.microsoft.com/office/drawing/2014/main" id="{00000000-0008-0000-0100-00004F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2" name="Check Box 80" hidden="1">
                <a:extLst>
                  <a:ext uri="{63B3BB69-23CF-44E3-9099-C40C66FF867C}">
                    <a14:compatExt spid="_x0000_s3152"/>
                  </a:ext>
                  <a:ext uri="{FF2B5EF4-FFF2-40B4-BE49-F238E27FC236}">
                    <a16:creationId xmlns:a16="http://schemas.microsoft.com/office/drawing/2014/main" id="{00000000-0008-0000-0100-000050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53" name="Drop Down 81" hidden="1">
                <a:extLst>
                  <a:ext uri="{63B3BB69-23CF-44E3-9099-C40C66FF867C}">
                    <a14:compatExt spid="_x0000_s3153"/>
                  </a:ext>
                  <a:ext uri="{FF2B5EF4-FFF2-40B4-BE49-F238E27FC236}">
                    <a16:creationId xmlns:a16="http://schemas.microsoft.com/office/drawing/2014/main" id="{00000000-0008-0000-0100-000051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66</xdr:row>
          <xdr:rowOff>9525</xdr:rowOff>
        </xdr:from>
        <xdr:to>
          <xdr:col>2</xdr:col>
          <xdr:colOff>1771650</xdr:colOff>
          <xdr:row>74</xdr:row>
          <xdr:rowOff>180975</xdr:rowOff>
        </xdr:to>
        <xdr:grpSp>
          <xdr:nvGrpSpPr>
            <xdr:cNvPr id="6" name="Gruppieren 5">
              <a:extLst>
                <a:ext uri="{FF2B5EF4-FFF2-40B4-BE49-F238E27FC236}">
                  <a16:creationId xmlns:a16="http://schemas.microsoft.com/office/drawing/2014/main" id="{48F8CAF4-7EA4-448E-8D7C-FE2DEB9BD3D0}"/>
                </a:ext>
              </a:extLst>
            </xdr:cNvPr>
            <xdr:cNvGrpSpPr/>
          </xdr:nvGrpSpPr>
          <xdr:grpSpPr>
            <a:xfrm>
              <a:off x="2154115" y="12318756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54" name="Check Box 82" descr="Configure Region" hidden="1">
                <a:extLst>
                  <a:ext uri="{63B3BB69-23CF-44E3-9099-C40C66FF867C}">
                    <a14:compatExt spid="_x0000_s3154"/>
                  </a:ext>
                  <a:ext uri="{FF2B5EF4-FFF2-40B4-BE49-F238E27FC236}">
                    <a16:creationId xmlns:a16="http://schemas.microsoft.com/office/drawing/2014/main" id="{00000000-0008-0000-0100-000052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55" name="Check Box 83" hidden="1">
                <a:extLst>
                  <a:ext uri="{63B3BB69-23CF-44E3-9099-C40C66FF867C}">
                    <a14:compatExt spid="_x0000_s3155"/>
                  </a:ext>
                  <a:ext uri="{FF2B5EF4-FFF2-40B4-BE49-F238E27FC236}">
                    <a16:creationId xmlns:a16="http://schemas.microsoft.com/office/drawing/2014/main" id="{00000000-0008-0000-0100-000053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6" name="Drop Down 84" hidden="1">
                <a:extLst>
                  <a:ext uri="{63B3BB69-23CF-44E3-9099-C40C66FF867C}">
                    <a14:compatExt spid="_x0000_s3156"/>
                  </a:ext>
                  <a:ext uri="{FF2B5EF4-FFF2-40B4-BE49-F238E27FC236}">
                    <a16:creationId xmlns:a16="http://schemas.microsoft.com/office/drawing/2014/main" id="{00000000-0008-0000-0100-000054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7" name="Check Box 85" hidden="1">
                <a:extLst>
                  <a:ext uri="{63B3BB69-23CF-44E3-9099-C40C66FF867C}">
                    <a14:compatExt spid="_x0000_s3157"/>
                  </a:ext>
                  <a:ext uri="{FF2B5EF4-FFF2-40B4-BE49-F238E27FC236}">
                    <a16:creationId xmlns:a16="http://schemas.microsoft.com/office/drawing/2014/main" id="{00000000-0008-0000-0100-000055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58" name="Drop Down 86" hidden="1">
                <a:extLst>
                  <a:ext uri="{63B3BB69-23CF-44E3-9099-C40C66FF867C}">
                    <a14:compatExt spid="_x0000_s3158"/>
                  </a:ext>
                  <a:ext uri="{FF2B5EF4-FFF2-40B4-BE49-F238E27FC236}">
                    <a16:creationId xmlns:a16="http://schemas.microsoft.com/office/drawing/2014/main" id="{00000000-0008-0000-0100-000056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59" name="Check Box 87" hidden="1">
                <a:extLst>
                  <a:ext uri="{63B3BB69-23CF-44E3-9099-C40C66FF867C}">
                    <a14:compatExt spid="_x0000_s3159"/>
                  </a:ext>
                  <a:ext uri="{FF2B5EF4-FFF2-40B4-BE49-F238E27FC236}">
                    <a16:creationId xmlns:a16="http://schemas.microsoft.com/office/drawing/2014/main" id="{00000000-0008-0000-0100-000057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60" name="Drop Down 88" hidden="1">
                <a:extLst>
                  <a:ext uri="{63B3BB69-23CF-44E3-9099-C40C66FF867C}">
                    <a14:compatExt spid="_x0000_s3160"/>
                  </a:ext>
                  <a:ext uri="{FF2B5EF4-FFF2-40B4-BE49-F238E27FC236}">
                    <a16:creationId xmlns:a16="http://schemas.microsoft.com/office/drawing/2014/main" id="{00000000-0008-0000-0100-000058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76</xdr:row>
          <xdr:rowOff>9525</xdr:rowOff>
        </xdr:from>
        <xdr:to>
          <xdr:col>2</xdr:col>
          <xdr:colOff>1771650</xdr:colOff>
          <xdr:row>84</xdr:row>
          <xdr:rowOff>180975</xdr:rowOff>
        </xdr:to>
        <xdr:grpSp>
          <xdr:nvGrpSpPr>
            <xdr:cNvPr id="7" name="Gruppieren 6">
              <a:extLst>
                <a:ext uri="{FF2B5EF4-FFF2-40B4-BE49-F238E27FC236}">
                  <a16:creationId xmlns:a16="http://schemas.microsoft.com/office/drawing/2014/main" id="{FD1F2B40-C6BC-4E76-A369-AF2A7BFA7E3A}"/>
                </a:ext>
              </a:extLst>
            </xdr:cNvPr>
            <xdr:cNvGrpSpPr/>
          </xdr:nvGrpSpPr>
          <xdr:grpSpPr>
            <a:xfrm>
              <a:off x="2154115" y="14157813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61" name="Check Box 89" descr="Configure Region" hidden="1">
                <a:extLst>
                  <a:ext uri="{63B3BB69-23CF-44E3-9099-C40C66FF867C}">
                    <a14:compatExt spid="_x0000_s3161"/>
                  </a:ext>
                  <a:ext uri="{FF2B5EF4-FFF2-40B4-BE49-F238E27FC236}">
                    <a16:creationId xmlns:a16="http://schemas.microsoft.com/office/drawing/2014/main" id="{00000000-0008-0000-0100-000059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62" name="Check Box 90" hidden="1">
                <a:extLst>
                  <a:ext uri="{63B3BB69-23CF-44E3-9099-C40C66FF867C}">
                    <a14:compatExt spid="_x0000_s3162"/>
                  </a:ext>
                  <a:ext uri="{FF2B5EF4-FFF2-40B4-BE49-F238E27FC236}">
                    <a16:creationId xmlns:a16="http://schemas.microsoft.com/office/drawing/2014/main" id="{00000000-0008-0000-0100-00005A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63" name="Drop Down 91" hidden="1">
                <a:extLst>
                  <a:ext uri="{63B3BB69-23CF-44E3-9099-C40C66FF867C}">
                    <a14:compatExt spid="_x0000_s3163"/>
                  </a:ext>
                  <a:ext uri="{FF2B5EF4-FFF2-40B4-BE49-F238E27FC236}">
                    <a16:creationId xmlns:a16="http://schemas.microsoft.com/office/drawing/2014/main" id="{00000000-0008-0000-0100-00005B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64" name="Check Box 92" hidden="1">
                <a:extLst>
                  <a:ext uri="{63B3BB69-23CF-44E3-9099-C40C66FF867C}">
                    <a14:compatExt spid="_x0000_s3164"/>
                  </a:ext>
                  <a:ext uri="{FF2B5EF4-FFF2-40B4-BE49-F238E27FC236}">
                    <a16:creationId xmlns:a16="http://schemas.microsoft.com/office/drawing/2014/main" id="{00000000-0008-0000-0100-00005C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65" name="Drop Down 93" hidden="1">
                <a:extLst>
                  <a:ext uri="{63B3BB69-23CF-44E3-9099-C40C66FF867C}">
                    <a14:compatExt spid="_x0000_s3165"/>
                  </a:ext>
                  <a:ext uri="{FF2B5EF4-FFF2-40B4-BE49-F238E27FC236}">
                    <a16:creationId xmlns:a16="http://schemas.microsoft.com/office/drawing/2014/main" id="{00000000-0008-0000-0100-00005D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66" name="Check Box 94" hidden="1">
                <a:extLst>
                  <a:ext uri="{63B3BB69-23CF-44E3-9099-C40C66FF867C}">
                    <a14:compatExt spid="_x0000_s3166"/>
                  </a:ext>
                  <a:ext uri="{FF2B5EF4-FFF2-40B4-BE49-F238E27FC236}">
                    <a16:creationId xmlns:a16="http://schemas.microsoft.com/office/drawing/2014/main" id="{00000000-0008-0000-0100-00005E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67" name="Drop Down 95" hidden="1">
                <a:extLst>
                  <a:ext uri="{63B3BB69-23CF-44E3-9099-C40C66FF867C}">
                    <a14:compatExt spid="_x0000_s3167"/>
                  </a:ext>
                  <a:ext uri="{FF2B5EF4-FFF2-40B4-BE49-F238E27FC236}">
                    <a16:creationId xmlns:a16="http://schemas.microsoft.com/office/drawing/2014/main" id="{00000000-0008-0000-0100-00005F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86</xdr:row>
          <xdr:rowOff>9525</xdr:rowOff>
        </xdr:from>
        <xdr:to>
          <xdr:col>2</xdr:col>
          <xdr:colOff>1771650</xdr:colOff>
          <xdr:row>94</xdr:row>
          <xdr:rowOff>180975</xdr:rowOff>
        </xdr:to>
        <xdr:grpSp>
          <xdr:nvGrpSpPr>
            <xdr:cNvPr id="8" name="Gruppieren 7">
              <a:extLst>
                <a:ext uri="{FF2B5EF4-FFF2-40B4-BE49-F238E27FC236}">
                  <a16:creationId xmlns:a16="http://schemas.microsoft.com/office/drawing/2014/main" id="{A1E64BCA-8F6F-4B8A-9A93-31BCFB7E678C}"/>
                </a:ext>
              </a:extLst>
            </xdr:cNvPr>
            <xdr:cNvGrpSpPr/>
          </xdr:nvGrpSpPr>
          <xdr:grpSpPr>
            <a:xfrm>
              <a:off x="2154115" y="15996871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68" name="Check Box 96" descr="Configure Region" hidden="1">
                <a:extLst>
                  <a:ext uri="{63B3BB69-23CF-44E3-9099-C40C66FF867C}">
                    <a14:compatExt spid="_x0000_s3168"/>
                  </a:ext>
                  <a:ext uri="{FF2B5EF4-FFF2-40B4-BE49-F238E27FC236}">
                    <a16:creationId xmlns:a16="http://schemas.microsoft.com/office/drawing/2014/main" id="{00000000-0008-0000-0100-000060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69" name="Check Box 97" hidden="1">
                <a:extLst>
                  <a:ext uri="{63B3BB69-23CF-44E3-9099-C40C66FF867C}">
                    <a14:compatExt spid="_x0000_s3169"/>
                  </a:ext>
                  <a:ext uri="{FF2B5EF4-FFF2-40B4-BE49-F238E27FC236}">
                    <a16:creationId xmlns:a16="http://schemas.microsoft.com/office/drawing/2014/main" id="{00000000-0008-0000-0100-000061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70" name="Drop Down 98" hidden="1">
                <a:extLst>
                  <a:ext uri="{63B3BB69-23CF-44E3-9099-C40C66FF867C}">
                    <a14:compatExt spid="_x0000_s3170"/>
                  </a:ext>
                  <a:ext uri="{FF2B5EF4-FFF2-40B4-BE49-F238E27FC236}">
                    <a16:creationId xmlns:a16="http://schemas.microsoft.com/office/drawing/2014/main" id="{00000000-0008-0000-0100-000062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71" name="Check Box 99" hidden="1">
                <a:extLst>
                  <a:ext uri="{63B3BB69-23CF-44E3-9099-C40C66FF867C}">
                    <a14:compatExt spid="_x0000_s3171"/>
                  </a:ext>
                  <a:ext uri="{FF2B5EF4-FFF2-40B4-BE49-F238E27FC236}">
                    <a16:creationId xmlns:a16="http://schemas.microsoft.com/office/drawing/2014/main" id="{00000000-0008-0000-0100-000063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72" name="Drop Down 100" hidden="1">
                <a:extLst>
                  <a:ext uri="{63B3BB69-23CF-44E3-9099-C40C66FF867C}">
                    <a14:compatExt spid="_x0000_s3172"/>
                  </a:ext>
                  <a:ext uri="{FF2B5EF4-FFF2-40B4-BE49-F238E27FC236}">
                    <a16:creationId xmlns:a16="http://schemas.microsoft.com/office/drawing/2014/main" id="{00000000-0008-0000-0100-000064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73" name="Check Box 101" hidden="1">
                <a:extLst>
                  <a:ext uri="{63B3BB69-23CF-44E3-9099-C40C66FF867C}">
                    <a14:compatExt spid="_x0000_s3173"/>
                  </a:ext>
                  <a:ext uri="{FF2B5EF4-FFF2-40B4-BE49-F238E27FC236}">
                    <a16:creationId xmlns:a16="http://schemas.microsoft.com/office/drawing/2014/main" id="{00000000-0008-0000-0100-000065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74" name="Drop Down 102" hidden="1">
                <a:extLst>
                  <a:ext uri="{63B3BB69-23CF-44E3-9099-C40C66FF867C}">
                    <a14:compatExt spid="_x0000_s3174"/>
                  </a:ext>
                  <a:ext uri="{FF2B5EF4-FFF2-40B4-BE49-F238E27FC236}">
                    <a16:creationId xmlns:a16="http://schemas.microsoft.com/office/drawing/2014/main" id="{00000000-0008-0000-0100-000066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96</xdr:row>
          <xdr:rowOff>9525</xdr:rowOff>
        </xdr:from>
        <xdr:to>
          <xdr:col>2</xdr:col>
          <xdr:colOff>1771650</xdr:colOff>
          <xdr:row>104</xdr:row>
          <xdr:rowOff>180975</xdr:rowOff>
        </xdr:to>
        <xdr:grpSp>
          <xdr:nvGrpSpPr>
            <xdr:cNvPr id="9" name="Gruppieren 8">
              <a:extLst>
                <a:ext uri="{FF2B5EF4-FFF2-40B4-BE49-F238E27FC236}">
                  <a16:creationId xmlns:a16="http://schemas.microsoft.com/office/drawing/2014/main" id="{A7642C71-318F-44A3-87BC-8E1A093A5AFD}"/>
                </a:ext>
              </a:extLst>
            </xdr:cNvPr>
            <xdr:cNvGrpSpPr/>
          </xdr:nvGrpSpPr>
          <xdr:grpSpPr>
            <a:xfrm>
              <a:off x="2154115" y="17835929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75" name="Check Box 103" descr="Configure Region" hidden="1">
                <a:extLst>
                  <a:ext uri="{63B3BB69-23CF-44E3-9099-C40C66FF867C}">
                    <a14:compatExt spid="_x0000_s3175"/>
                  </a:ext>
                  <a:ext uri="{FF2B5EF4-FFF2-40B4-BE49-F238E27FC236}">
                    <a16:creationId xmlns:a16="http://schemas.microsoft.com/office/drawing/2014/main" id="{00000000-0008-0000-0100-000067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76" name="Check Box 104" hidden="1">
                <a:extLst>
                  <a:ext uri="{63B3BB69-23CF-44E3-9099-C40C66FF867C}">
                    <a14:compatExt spid="_x0000_s3176"/>
                  </a:ext>
                  <a:ext uri="{FF2B5EF4-FFF2-40B4-BE49-F238E27FC236}">
                    <a16:creationId xmlns:a16="http://schemas.microsoft.com/office/drawing/2014/main" id="{00000000-0008-0000-0100-000068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77" name="Drop Down 105" hidden="1">
                <a:extLst>
                  <a:ext uri="{63B3BB69-23CF-44E3-9099-C40C66FF867C}">
                    <a14:compatExt spid="_x0000_s3177"/>
                  </a:ext>
                  <a:ext uri="{FF2B5EF4-FFF2-40B4-BE49-F238E27FC236}">
                    <a16:creationId xmlns:a16="http://schemas.microsoft.com/office/drawing/2014/main" id="{00000000-0008-0000-0100-000069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78" name="Check Box 106" hidden="1">
                <a:extLst>
                  <a:ext uri="{63B3BB69-23CF-44E3-9099-C40C66FF867C}">
                    <a14:compatExt spid="_x0000_s3178"/>
                  </a:ext>
                  <a:ext uri="{FF2B5EF4-FFF2-40B4-BE49-F238E27FC236}">
                    <a16:creationId xmlns:a16="http://schemas.microsoft.com/office/drawing/2014/main" id="{00000000-0008-0000-0100-00006A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79" name="Drop Down 107" hidden="1">
                <a:extLst>
                  <a:ext uri="{63B3BB69-23CF-44E3-9099-C40C66FF867C}">
                    <a14:compatExt spid="_x0000_s3179"/>
                  </a:ext>
                  <a:ext uri="{FF2B5EF4-FFF2-40B4-BE49-F238E27FC236}">
                    <a16:creationId xmlns:a16="http://schemas.microsoft.com/office/drawing/2014/main" id="{00000000-0008-0000-0100-00006B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0" name="Check Box 108" hidden="1">
                <a:extLst>
                  <a:ext uri="{63B3BB69-23CF-44E3-9099-C40C66FF867C}">
                    <a14:compatExt spid="_x0000_s3180"/>
                  </a:ext>
                  <a:ext uri="{FF2B5EF4-FFF2-40B4-BE49-F238E27FC236}">
                    <a16:creationId xmlns:a16="http://schemas.microsoft.com/office/drawing/2014/main" id="{00000000-0008-0000-0100-00006C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81" name="Drop Down 109" hidden="1">
                <a:extLst>
                  <a:ext uri="{63B3BB69-23CF-44E3-9099-C40C66FF867C}">
                    <a14:compatExt spid="_x0000_s3181"/>
                  </a:ext>
                  <a:ext uri="{FF2B5EF4-FFF2-40B4-BE49-F238E27FC236}">
                    <a16:creationId xmlns:a16="http://schemas.microsoft.com/office/drawing/2014/main" id="{00000000-0008-0000-0100-00006D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106</xdr:row>
          <xdr:rowOff>9525</xdr:rowOff>
        </xdr:from>
        <xdr:to>
          <xdr:col>2</xdr:col>
          <xdr:colOff>1771650</xdr:colOff>
          <xdr:row>114</xdr:row>
          <xdr:rowOff>180975</xdr:rowOff>
        </xdr:to>
        <xdr:grpSp>
          <xdr:nvGrpSpPr>
            <xdr:cNvPr id="10" name="Gruppieren 9">
              <a:extLst>
                <a:ext uri="{FF2B5EF4-FFF2-40B4-BE49-F238E27FC236}">
                  <a16:creationId xmlns:a16="http://schemas.microsoft.com/office/drawing/2014/main" id="{FFE1D16E-01C3-458F-ABC5-7B57335772C4}"/>
                </a:ext>
              </a:extLst>
            </xdr:cNvPr>
            <xdr:cNvGrpSpPr/>
          </xdr:nvGrpSpPr>
          <xdr:grpSpPr>
            <a:xfrm>
              <a:off x="2154115" y="19674987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82" name="Check Box 110" descr="Configure Region" hidden="1">
                <a:extLst>
                  <a:ext uri="{63B3BB69-23CF-44E3-9099-C40C66FF867C}">
                    <a14:compatExt spid="_x0000_s3182"/>
                  </a:ext>
                  <a:ext uri="{FF2B5EF4-FFF2-40B4-BE49-F238E27FC236}">
                    <a16:creationId xmlns:a16="http://schemas.microsoft.com/office/drawing/2014/main" id="{00000000-0008-0000-0100-00006E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83" name="Check Box 111" hidden="1">
                <a:extLst>
                  <a:ext uri="{63B3BB69-23CF-44E3-9099-C40C66FF867C}">
                    <a14:compatExt spid="_x0000_s3183"/>
                  </a:ext>
                  <a:ext uri="{FF2B5EF4-FFF2-40B4-BE49-F238E27FC236}">
                    <a16:creationId xmlns:a16="http://schemas.microsoft.com/office/drawing/2014/main" id="{00000000-0008-0000-0100-00006F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4" name="Drop Down 112" hidden="1">
                <a:extLst>
                  <a:ext uri="{63B3BB69-23CF-44E3-9099-C40C66FF867C}">
                    <a14:compatExt spid="_x0000_s3184"/>
                  </a:ext>
                  <a:ext uri="{FF2B5EF4-FFF2-40B4-BE49-F238E27FC236}">
                    <a16:creationId xmlns:a16="http://schemas.microsoft.com/office/drawing/2014/main" id="{00000000-0008-0000-0100-000070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5" name="Check Box 113" hidden="1">
                <a:extLst>
                  <a:ext uri="{63B3BB69-23CF-44E3-9099-C40C66FF867C}">
                    <a14:compatExt spid="_x0000_s3185"/>
                  </a:ext>
                  <a:ext uri="{FF2B5EF4-FFF2-40B4-BE49-F238E27FC236}">
                    <a16:creationId xmlns:a16="http://schemas.microsoft.com/office/drawing/2014/main" id="{00000000-0008-0000-0100-000071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86" name="Drop Down 114" hidden="1">
                <a:extLst>
                  <a:ext uri="{63B3BB69-23CF-44E3-9099-C40C66FF867C}">
                    <a14:compatExt spid="_x0000_s3186"/>
                  </a:ext>
                  <a:ext uri="{FF2B5EF4-FFF2-40B4-BE49-F238E27FC236}">
                    <a16:creationId xmlns:a16="http://schemas.microsoft.com/office/drawing/2014/main" id="{00000000-0008-0000-0100-000072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87" name="Check Box 115" hidden="1">
                <a:extLst>
                  <a:ext uri="{63B3BB69-23CF-44E3-9099-C40C66FF867C}">
                    <a14:compatExt spid="_x0000_s3187"/>
                  </a:ext>
                  <a:ext uri="{FF2B5EF4-FFF2-40B4-BE49-F238E27FC236}">
                    <a16:creationId xmlns:a16="http://schemas.microsoft.com/office/drawing/2014/main" id="{00000000-0008-0000-0100-000073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88" name="Drop Down 116" hidden="1">
                <a:extLst>
                  <a:ext uri="{63B3BB69-23CF-44E3-9099-C40C66FF867C}">
                    <a14:compatExt spid="_x0000_s3188"/>
                  </a:ext>
                  <a:ext uri="{FF2B5EF4-FFF2-40B4-BE49-F238E27FC236}">
                    <a16:creationId xmlns:a16="http://schemas.microsoft.com/office/drawing/2014/main" id="{00000000-0008-0000-0100-000074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116</xdr:row>
          <xdr:rowOff>9525</xdr:rowOff>
        </xdr:from>
        <xdr:to>
          <xdr:col>2</xdr:col>
          <xdr:colOff>1771650</xdr:colOff>
          <xdr:row>124</xdr:row>
          <xdr:rowOff>180975</xdr:rowOff>
        </xdr:to>
        <xdr:grpSp>
          <xdr:nvGrpSpPr>
            <xdr:cNvPr id="11" name="Gruppieren 10">
              <a:extLst>
                <a:ext uri="{FF2B5EF4-FFF2-40B4-BE49-F238E27FC236}">
                  <a16:creationId xmlns:a16="http://schemas.microsoft.com/office/drawing/2014/main" id="{EBED4F3A-8875-4290-98FE-C4B8C27F9F55}"/>
                </a:ext>
              </a:extLst>
            </xdr:cNvPr>
            <xdr:cNvGrpSpPr/>
          </xdr:nvGrpSpPr>
          <xdr:grpSpPr>
            <a:xfrm>
              <a:off x="2154115" y="21514044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89" name="Check Box 117" descr="Configure Region" hidden="1">
                <a:extLst>
                  <a:ext uri="{63B3BB69-23CF-44E3-9099-C40C66FF867C}">
                    <a14:compatExt spid="_x0000_s3189"/>
                  </a:ext>
                  <a:ext uri="{FF2B5EF4-FFF2-40B4-BE49-F238E27FC236}">
                    <a16:creationId xmlns:a16="http://schemas.microsoft.com/office/drawing/2014/main" id="{00000000-0008-0000-0100-000075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90" name="Check Box 118" hidden="1">
                <a:extLst>
                  <a:ext uri="{63B3BB69-23CF-44E3-9099-C40C66FF867C}">
                    <a14:compatExt spid="_x0000_s3190"/>
                  </a:ext>
                  <a:ext uri="{FF2B5EF4-FFF2-40B4-BE49-F238E27FC236}">
                    <a16:creationId xmlns:a16="http://schemas.microsoft.com/office/drawing/2014/main" id="{00000000-0008-0000-0100-000076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91" name="Drop Down 119" hidden="1">
                <a:extLst>
                  <a:ext uri="{63B3BB69-23CF-44E3-9099-C40C66FF867C}">
                    <a14:compatExt spid="_x0000_s3191"/>
                  </a:ext>
                  <a:ext uri="{FF2B5EF4-FFF2-40B4-BE49-F238E27FC236}">
                    <a16:creationId xmlns:a16="http://schemas.microsoft.com/office/drawing/2014/main" id="{00000000-0008-0000-0100-000077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92" name="Check Box 120" hidden="1">
                <a:extLst>
                  <a:ext uri="{63B3BB69-23CF-44E3-9099-C40C66FF867C}">
                    <a14:compatExt spid="_x0000_s3192"/>
                  </a:ext>
                  <a:ext uri="{FF2B5EF4-FFF2-40B4-BE49-F238E27FC236}">
                    <a16:creationId xmlns:a16="http://schemas.microsoft.com/office/drawing/2014/main" id="{00000000-0008-0000-0100-000078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193" name="Drop Down 121" hidden="1">
                <a:extLst>
                  <a:ext uri="{63B3BB69-23CF-44E3-9099-C40C66FF867C}">
                    <a14:compatExt spid="_x0000_s3193"/>
                  </a:ext>
                  <a:ext uri="{FF2B5EF4-FFF2-40B4-BE49-F238E27FC236}">
                    <a16:creationId xmlns:a16="http://schemas.microsoft.com/office/drawing/2014/main" id="{00000000-0008-0000-0100-000079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94" name="Check Box 122" hidden="1">
                <a:extLst>
                  <a:ext uri="{63B3BB69-23CF-44E3-9099-C40C66FF867C}">
                    <a14:compatExt spid="_x0000_s3194"/>
                  </a:ext>
                  <a:ext uri="{FF2B5EF4-FFF2-40B4-BE49-F238E27FC236}">
                    <a16:creationId xmlns:a16="http://schemas.microsoft.com/office/drawing/2014/main" id="{00000000-0008-0000-0100-00007A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195" name="Drop Down 123" hidden="1">
                <a:extLst>
                  <a:ext uri="{63B3BB69-23CF-44E3-9099-C40C66FF867C}">
                    <a14:compatExt spid="_x0000_s3195"/>
                  </a:ext>
                  <a:ext uri="{FF2B5EF4-FFF2-40B4-BE49-F238E27FC236}">
                    <a16:creationId xmlns:a16="http://schemas.microsoft.com/office/drawing/2014/main" id="{00000000-0008-0000-0100-00007B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126</xdr:row>
          <xdr:rowOff>9525</xdr:rowOff>
        </xdr:from>
        <xdr:to>
          <xdr:col>2</xdr:col>
          <xdr:colOff>1771650</xdr:colOff>
          <xdr:row>134</xdr:row>
          <xdr:rowOff>180975</xdr:rowOff>
        </xdr:to>
        <xdr:grpSp>
          <xdr:nvGrpSpPr>
            <xdr:cNvPr id="12" name="Gruppieren 11">
              <a:extLst>
                <a:ext uri="{FF2B5EF4-FFF2-40B4-BE49-F238E27FC236}">
                  <a16:creationId xmlns:a16="http://schemas.microsoft.com/office/drawing/2014/main" id="{D55C998D-2688-4619-9E6E-31774B7496AE}"/>
                </a:ext>
              </a:extLst>
            </xdr:cNvPr>
            <xdr:cNvGrpSpPr/>
          </xdr:nvGrpSpPr>
          <xdr:grpSpPr>
            <a:xfrm>
              <a:off x="2154115" y="23353102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196" name="Check Box 124" descr="Configure Region" hidden="1">
                <a:extLst>
                  <a:ext uri="{63B3BB69-23CF-44E3-9099-C40C66FF867C}">
                    <a14:compatExt spid="_x0000_s3196"/>
                  </a:ext>
                  <a:ext uri="{FF2B5EF4-FFF2-40B4-BE49-F238E27FC236}">
                    <a16:creationId xmlns:a16="http://schemas.microsoft.com/office/drawing/2014/main" id="{00000000-0008-0000-0100-00007C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197" name="Check Box 125" hidden="1">
                <a:extLst>
                  <a:ext uri="{63B3BB69-23CF-44E3-9099-C40C66FF867C}">
                    <a14:compatExt spid="_x0000_s3197"/>
                  </a:ext>
                  <a:ext uri="{FF2B5EF4-FFF2-40B4-BE49-F238E27FC236}">
                    <a16:creationId xmlns:a16="http://schemas.microsoft.com/office/drawing/2014/main" id="{00000000-0008-0000-0100-00007D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98" name="Drop Down 126" hidden="1">
                <a:extLst>
                  <a:ext uri="{63B3BB69-23CF-44E3-9099-C40C66FF867C}">
                    <a14:compatExt spid="_x0000_s3198"/>
                  </a:ext>
                  <a:ext uri="{FF2B5EF4-FFF2-40B4-BE49-F238E27FC236}">
                    <a16:creationId xmlns:a16="http://schemas.microsoft.com/office/drawing/2014/main" id="{00000000-0008-0000-0100-00007E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199" name="Check Box 127" hidden="1">
                <a:extLst>
                  <a:ext uri="{63B3BB69-23CF-44E3-9099-C40C66FF867C}">
                    <a14:compatExt spid="_x0000_s3199"/>
                  </a:ext>
                  <a:ext uri="{FF2B5EF4-FFF2-40B4-BE49-F238E27FC236}">
                    <a16:creationId xmlns:a16="http://schemas.microsoft.com/office/drawing/2014/main" id="{00000000-0008-0000-0100-00007F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200" name="Drop Down 128" hidden="1">
                <a:extLst>
                  <a:ext uri="{63B3BB69-23CF-44E3-9099-C40C66FF867C}">
                    <a14:compatExt spid="_x0000_s3200"/>
                  </a:ext>
                  <a:ext uri="{FF2B5EF4-FFF2-40B4-BE49-F238E27FC236}">
                    <a16:creationId xmlns:a16="http://schemas.microsoft.com/office/drawing/2014/main" id="{00000000-0008-0000-0100-000080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01" name="Check Box 129" hidden="1">
                <a:extLst>
                  <a:ext uri="{63B3BB69-23CF-44E3-9099-C40C66FF867C}">
                    <a14:compatExt spid="_x0000_s3201"/>
                  </a:ext>
                  <a:ext uri="{FF2B5EF4-FFF2-40B4-BE49-F238E27FC236}">
                    <a16:creationId xmlns:a16="http://schemas.microsoft.com/office/drawing/2014/main" id="{00000000-0008-0000-0100-000081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202" name="Drop Down 130" hidden="1">
                <a:extLst>
                  <a:ext uri="{63B3BB69-23CF-44E3-9099-C40C66FF867C}">
                    <a14:compatExt spid="_x0000_s3202"/>
                  </a:ext>
                  <a:ext uri="{FF2B5EF4-FFF2-40B4-BE49-F238E27FC236}">
                    <a16:creationId xmlns:a16="http://schemas.microsoft.com/office/drawing/2014/main" id="{00000000-0008-0000-0100-000082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136</xdr:row>
          <xdr:rowOff>9525</xdr:rowOff>
        </xdr:from>
        <xdr:to>
          <xdr:col>2</xdr:col>
          <xdr:colOff>1771650</xdr:colOff>
          <xdr:row>144</xdr:row>
          <xdr:rowOff>180975</xdr:rowOff>
        </xdr:to>
        <xdr:grpSp>
          <xdr:nvGrpSpPr>
            <xdr:cNvPr id="13" name="Gruppieren 12">
              <a:extLst>
                <a:ext uri="{FF2B5EF4-FFF2-40B4-BE49-F238E27FC236}">
                  <a16:creationId xmlns:a16="http://schemas.microsoft.com/office/drawing/2014/main" id="{19475A3D-EEEE-47EA-9438-E237415E5438}"/>
                </a:ext>
              </a:extLst>
            </xdr:cNvPr>
            <xdr:cNvGrpSpPr/>
          </xdr:nvGrpSpPr>
          <xdr:grpSpPr>
            <a:xfrm>
              <a:off x="2154115" y="25192160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203" name="Check Box 131" descr="Configure Region" hidden="1">
                <a:extLst>
                  <a:ext uri="{63B3BB69-23CF-44E3-9099-C40C66FF867C}">
                    <a14:compatExt spid="_x0000_s3203"/>
                  </a:ext>
                  <a:ext uri="{FF2B5EF4-FFF2-40B4-BE49-F238E27FC236}">
                    <a16:creationId xmlns:a16="http://schemas.microsoft.com/office/drawing/2014/main" id="{00000000-0008-0000-0100-000083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204" name="Check Box 132" hidden="1">
                <a:extLst>
                  <a:ext uri="{63B3BB69-23CF-44E3-9099-C40C66FF867C}">
                    <a14:compatExt spid="_x0000_s3204"/>
                  </a:ext>
                  <a:ext uri="{FF2B5EF4-FFF2-40B4-BE49-F238E27FC236}">
                    <a16:creationId xmlns:a16="http://schemas.microsoft.com/office/drawing/2014/main" id="{00000000-0008-0000-0100-000084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05" name="Drop Down 133" hidden="1">
                <a:extLst>
                  <a:ext uri="{63B3BB69-23CF-44E3-9099-C40C66FF867C}">
                    <a14:compatExt spid="_x0000_s3205"/>
                  </a:ext>
                  <a:ext uri="{FF2B5EF4-FFF2-40B4-BE49-F238E27FC236}">
                    <a16:creationId xmlns:a16="http://schemas.microsoft.com/office/drawing/2014/main" id="{00000000-0008-0000-0100-000085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06" name="Check Box 134" hidden="1">
                <a:extLst>
                  <a:ext uri="{63B3BB69-23CF-44E3-9099-C40C66FF867C}">
                    <a14:compatExt spid="_x0000_s3206"/>
                  </a:ext>
                  <a:ext uri="{FF2B5EF4-FFF2-40B4-BE49-F238E27FC236}">
                    <a16:creationId xmlns:a16="http://schemas.microsoft.com/office/drawing/2014/main" id="{00000000-0008-0000-0100-000086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207" name="Drop Down 135" hidden="1">
                <a:extLst>
                  <a:ext uri="{63B3BB69-23CF-44E3-9099-C40C66FF867C}">
                    <a14:compatExt spid="_x0000_s3207"/>
                  </a:ext>
                  <a:ext uri="{FF2B5EF4-FFF2-40B4-BE49-F238E27FC236}">
                    <a16:creationId xmlns:a16="http://schemas.microsoft.com/office/drawing/2014/main" id="{00000000-0008-0000-0100-000087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08" name="Check Box 136" hidden="1">
                <a:extLst>
                  <a:ext uri="{63B3BB69-23CF-44E3-9099-C40C66FF867C}">
                    <a14:compatExt spid="_x0000_s3208"/>
                  </a:ext>
                  <a:ext uri="{FF2B5EF4-FFF2-40B4-BE49-F238E27FC236}">
                    <a16:creationId xmlns:a16="http://schemas.microsoft.com/office/drawing/2014/main" id="{00000000-0008-0000-0100-000088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209" name="Drop Down 137" hidden="1">
                <a:extLst>
                  <a:ext uri="{63B3BB69-23CF-44E3-9099-C40C66FF867C}">
                    <a14:compatExt spid="_x0000_s3209"/>
                  </a:ext>
                  <a:ext uri="{FF2B5EF4-FFF2-40B4-BE49-F238E27FC236}">
                    <a16:creationId xmlns:a16="http://schemas.microsoft.com/office/drawing/2014/main" id="{00000000-0008-0000-0100-000089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146</xdr:row>
          <xdr:rowOff>9525</xdr:rowOff>
        </xdr:from>
        <xdr:to>
          <xdr:col>2</xdr:col>
          <xdr:colOff>1771650</xdr:colOff>
          <xdr:row>154</xdr:row>
          <xdr:rowOff>180975</xdr:rowOff>
        </xdr:to>
        <xdr:grpSp>
          <xdr:nvGrpSpPr>
            <xdr:cNvPr id="14" name="Gruppieren 13">
              <a:extLst>
                <a:ext uri="{FF2B5EF4-FFF2-40B4-BE49-F238E27FC236}">
                  <a16:creationId xmlns:a16="http://schemas.microsoft.com/office/drawing/2014/main" id="{B226C9A5-820F-4595-B00E-FE99ED597C6D}"/>
                </a:ext>
              </a:extLst>
            </xdr:cNvPr>
            <xdr:cNvGrpSpPr/>
          </xdr:nvGrpSpPr>
          <xdr:grpSpPr>
            <a:xfrm>
              <a:off x="2154115" y="27031217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210" name="Check Box 138" descr="Configure Region" hidden="1">
                <a:extLst>
                  <a:ext uri="{63B3BB69-23CF-44E3-9099-C40C66FF867C}">
                    <a14:compatExt spid="_x0000_s3210"/>
                  </a:ext>
                  <a:ext uri="{FF2B5EF4-FFF2-40B4-BE49-F238E27FC236}">
                    <a16:creationId xmlns:a16="http://schemas.microsoft.com/office/drawing/2014/main" id="{00000000-0008-0000-0100-00008A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211" name="Check Box 139" hidden="1">
                <a:extLst>
                  <a:ext uri="{63B3BB69-23CF-44E3-9099-C40C66FF867C}">
                    <a14:compatExt spid="_x0000_s3211"/>
                  </a:ext>
                  <a:ext uri="{FF2B5EF4-FFF2-40B4-BE49-F238E27FC236}">
                    <a16:creationId xmlns:a16="http://schemas.microsoft.com/office/drawing/2014/main" id="{00000000-0008-0000-0100-00008B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12" name="Drop Down 140" hidden="1">
                <a:extLst>
                  <a:ext uri="{63B3BB69-23CF-44E3-9099-C40C66FF867C}">
                    <a14:compatExt spid="_x0000_s3212"/>
                  </a:ext>
                  <a:ext uri="{FF2B5EF4-FFF2-40B4-BE49-F238E27FC236}">
                    <a16:creationId xmlns:a16="http://schemas.microsoft.com/office/drawing/2014/main" id="{00000000-0008-0000-0100-00008C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13" name="Check Box 141" hidden="1">
                <a:extLst>
                  <a:ext uri="{63B3BB69-23CF-44E3-9099-C40C66FF867C}">
                    <a14:compatExt spid="_x0000_s3213"/>
                  </a:ext>
                  <a:ext uri="{FF2B5EF4-FFF2-40B4-BE49-F238E27FC236}">
                    <a16:creationId xmlns:a16="http://schemas.microsoft.com/office/drawing/2014/main" id="{00000000-0008-0000-0100-00008D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214" name="Drop Down 142" hidden="1">
                <a:extLst>
                  <a:ext uri="{63B3BB69-23CF-44E3-9099-C40C66FF867C}">
                    <a14:compatExt spid="_x0000_s3214"/>
                  </a:ext>
                  <a:ext uri="{FF2B5EF4-FFF2-40B4-BE49-F238E27FC236}">
                    <a16:creationId xmlns:a16="http://schemas.microsoft.com/office/drawing/2014/main" id="{00000000-0008-0000-0100-00008E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15" name="Check Box 143" hidden="1">
                <a:extLst>
                  <a:ext uri="{63B3BB69-23CF-44E3-9099-C40C66FF867C}">
                    <a14:compatExt spid="_x0000_s3215"/>
                  </a:ext>
                  <a:ext uri="{FF2B5EF4-FFF2-40B4-BE49-F238E27FC236}">
                    <a16:creationId xmlns:a16="http://schemas.microsoft.com/office/drawing/2014/main" id="{00000000-0008-0000-0100-00008F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216" name="Drop Down 144" hidden="1">
                <a:extLst>
                  <a:ext uri="{63B3BB69-23CF-44E3-9099-C40C66FF867C}">
                    <a14:compatExt spid="_x0000_s3216"/>
                  </a:ext>
                  <a:ext uri="{FF2B5EF4-FFF2-40B4-BE49-F238E27FC236}">
                    <a16:creationId xmlns:a16="http://schemas.microsoft.com/office/drawing/2014/main" id="{00000000-0008-0000-0100-000090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156</xdr:row>
          <xdr:rowOff>9525</xdr:rowOff>
        </xdr:from>
        <xdr:to>
          <xdr:col>2</xdr:col>
          <xdr:colOff>1771650</xdr:colOff>
          <xdr:row>164</xdr:row>
          <xdr:rowOff>180975</xdr:rowOff>
        </xdr:to>
        <xdr:grpSp>
          <xdr:nvGrpSpPr>
            <xdr:cNvPr id="15" name="Gruppieren 14">
              <a:extLst>
                <a:ext uri="{FF2B5EF4-FFF2-40B4-BE49-F238E27FC236}">
                  <a16:creationId xmlns:a16="http://schemas.microsoft.com/office/drawing/2014/main" id="{41B5B9F2-CCD9-4B27-92D4-623582B1BB44}"/>
                </a:ext>
              </a:extLst>
            </xdr:cNvPr>
            <xdr:cNvGrpSpPr/>
          </xdr:nvGrpSpPr>
          <xdr:grpSpPr>
            <a:xfrm>
              <a:off x="2154115" y="28870275"/>
              <a:ext cx="1771650" cy="1695450"/>
              <a:chOff x="2914648" y="4942818"/>
              <a:chExt cx="1773616" cy="1695450"/>
            </a:xfrm>
          </xdr:grpSpPr>
          <xdr:sp macro="" textlink="">
            <xdr:nvSpPr>
              <xdr:cNvPr id="3217" name="Check Box 145" descr="Configure Region" hidden="1">
                <a:extLst>
                  <a:ext uri="{63B3BB69-23CF-44E3-9099-C40C66FF867C}">
                    <a14:compatExt spid="_x0000_s3217"/>
                  </a:ext>
                  <a:ext uri="{FF2B5EF4-FFF2-40B4-BE49-F238E27FC236}">
                    <a16:creationId xmlns:a16="http://schemas.microsoft.com/office/drawing/2014/main" id="{00000000-0008-0000-0100-0000910C0000}"/>
                  </a:ext>
                </a:extLst>
              </xdr:cNvPr>
              <xdr:cNvSpPr/>
            </xdr:nvSpPr>
            <xdr:spPr bwMode="auto">
              <a:xfrm>
                <a:off x="2926140" y="4942818"/>
                <a:ext cx="1762124" cy="1809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27432" rIns="0" bIns="27432" anchor="ctr" upright="1"/>
              <a:lstStyle/>
              <a:p>
                <a:pPr algn="l" rtl="0">
                  <a:defRPr sz="1000"/>
                </a:pPr>
                <a:r>
                  <a:rPr lang="de-DE" sz="1100" b="0" i="0" u="none" strike="noStrike" baseline="0">
                    <a:solidFill>
                      <a:srgbClr val="000000"/>
                    </a:solidFill>
                    <a:latin typeface="Aptos Narrow"/>
                  </a:rPr>
                  <a:t>Configure Region</a:t>
                </a:r>
              </a:p>
            </xdr:txBody>
          </xdr:sp>
          <xdr:sp macro="" textlink="">
            <xdr:nvSpPr>
              <xdr:cNvPr id="3218" name="Check Box 146" hidden="1">
                <a:extLst>
                  <a:ext uri="{63B3BB69-23CF-44E3-9099-C40C66FF867C}">
                    <a14:compatExt spid="_x0000_s3218"/>
                  </a:ext>
                  <a:ext uri="{FF2B5EF4-FFF2-40B4-BE49-F238E27FC236}">
                    <a16:creationId xmlns:a16="http://schemas.microsoft.com/office/drawing/2014/main" id="{00000000-0008-0000-0100-0000920C0000}"/>
                  </a:ext>
                </a:extLst>
              </xdr:cNvPr>
              <xdr:cNvSpPr/>
            </xdr:nvSpPr>
            <xdr:spPr bwMode="auto">
              <a:xfrm>
                <a:off x="2926146" y="5142843"/>
                <a:ext cx="15716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19" name="Drop Down 147" hidden="1">
                <a:extLst>
                  <a:ext uri="{63B3BB69-23CF-44E3-9099-C40C66FF867C}">
                    <a14:compatExt spid="_x0000_s3219"/>
                  </a:ext>
                  <a:ext uri="{FF2B5EF4-FFF2-40B4-BE49-F238E27FC236}">
                    <a16:creationId xmlns:a16="http://schemas.microsoft.com/office/drawing/2014/main" id="{00000000-0008-0000-0100-0000930C0000}"/>
                  </a:ext>
                </a:extLst>
              </xdr:cNvPr>
              <xdr:cNvSpPr/>
            </xdr:nvSpPr>
            <xdr:spPr bwMode="auto">
              <a:xfrm>
                <a:off x="2935671" y="5704818"/>
                <a:ext cx="1152525" cy="1619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20" name="Check Box 148" hidden="1">
                <a:extLst>
                  <a:ext uri="{63B3BB69-23CF-44E3-9099-C40C66FF867C}">
                    <a14:compatExt spid="_x0000_s3220"/>
                  </a:ext>
                  <a:ext uri="{FF2B5EF4-FFF2-40B4-BE49-F238E27FC236}">
                    <a16:creationId xmlns:a16="http://schemas.microsoft.com/office/drawing/2014/main" id="{00000000-0008-0000-0100-0000940C0000}"/>
                  </a:ext>
                </a:extLst>
              </xdr:cNvPr>
              <xdr:cNvSpPr/>
            </xdr:nvSpPr>
            <xdr:spPr bwMode="auto">
              <a:xfrm>
                <a:off x="2935671" y="59143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XN</a:t>
                </a:r>
              </a:p>
            </xdr:txBody>
          </xdr:sp>
          <xdr:sp macro="" textlink="">
            <xdr:nvSpPr>
              <xdr:cNvPr id="3221" name="Drop Down 149" hidden="1">
                <a:extLst>
                  <a:ext uri="{63B3BB69-23CF-44E3-9099-C40C66FF867C}">
                    <a14:compatExt spid="_x0000_s3221"/>
                  </a:ext>
                  <a:ext uri="{FF2B5EF4-FFF2-40B4-BE49-F238E27FC236}">
                    <a16:creationId xmlns:a16="http://schemas.microsoft.com/office/drawing/2014/main" id="{00000000-0008-0000-0100-0000950C0000}"/>
                  </a:ext>
                </a:extLst>
              </xdr:cNvPr>
              <xdr:cNvSpPr/>
            </xdr:nvSpPr>
            <xdr:spPr bwMode="auto">
              <a:xfrm>
                <a:off x="2914648" y="6485868"/>
                <a:ext cx="1202872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222" name="Check Box 150" hidden="1">
                <a:extLst>
                  <a:ext uri="{63B3BB69-23CF-44E3-9099-C40C66FF867C}">
                    <a14:compatExt spid="_x0000_s3222"/>
                  </a:ext>
                  <a:ext uri="{FF2B5EF4-FFF2-40B4-BE49-F238E27FC236}">
                    <a16:creationId xmlns:a16="http://schemas.microsoft.com/office/drawing/2014/main" id="{00000000-0008-0000-0100-0000960C0000}"/>
                  </a:ext>
                </a:extLst>
              </xdr:cNvPr>
              <xdr:cNvSpPr/>
            </xdr:nvSpPr>
            <xdr:spPr bwMode="auto">
              <a:xfrm>
                <a:off x="2935671" y="6104868"/>
                <a:ext cx="1571625" cy="1333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de-DE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PXN             v8.1 only</a:t>
                </a:r>
              </a:p>
            </xdr:txBody>
          </xdr:sp>
          <xdr:sp macro="" textlink="">
            <xdr:nvSpPr>
              <xdr:cNvPr id="3223" name="Drop Down 151" hidden="1">
                <a:extLst>
                  <a:ext uri="{63B3BB69-23CF-44E3-9099-C40C66FF867C}">
                    <a14:compatExt spid="_x0000_s3223"/>
                  </a:ext>
                  <a:ext uri="{FF2B5EF4-FFF2-40B4-BE49-F238E27FC236}">
                    <a16:creationId xmlns:a16="http://schemas.microsoft.com/office/drawing/2014/main" id="{00000000-0008-0000-0100-0000970C0000}"/>
                  </a:ext>
                </a:extLst>
              </xdr:cNvPr>
              <xdr:cNvSpPr/>
            </xdr:nvSpPr>
            <xdr:spPr bwMode="auto">
              <a:xfrm>
                <a:off x="2916621" y="6295368"/>
                <a:ext cx="1200150" cy="152400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171</xdr:row>
          <xdr:rowOff>38100</xdr:rowOff>
        </xdr:from>
        <xdr:to>
          <xdr:col>2</xdr:col>
          <xdr:colOff>981075</xdr:colOff>
          <xdr:row>171</xdr:row>
          <xdr:rowOff>180975</xdr:rowOff>
        </xdr:to>
        <xdr:sp macro="" textlink="">
          <xdr:nvSpPr>
            <xdr:cNvPr id="3224" name="Check Box 152" hidden="1">
              <a:extLst>
                <a:ext uri="{63B3BB69-23CF-44E3-9099-C40C66FF867C}">
                  <a14:compatExt spid="_x0000_s3224"/>
                </a:ext>
                <a:ext uri="{FF2B5EF4-FFF2-40B4-BE49-F238E27FC236}">
                  <a16:creationId xmlns:a16="http://schemas.microsoft.com/office/drawing/2014/main" id="{00000000-0008-0000-0100-00009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172</xdr:row>
          <xdr:rowOff>28575</xdr:rowOff>
        </xdr:from>
        <xdr:to>
          <xdr:col>2</xdr:col>
          <xdr:colOff>990600</xdr:colOff>
          <xdr:row>172</xdr:row>
          <xdr:rowOff>161925</xdr:rowOff>
        </xdr:to>
        <xdr:sp macro="" textlink="">
          <xdr:nvSpPr>
            <xdr:cNvPr id="3225" name="Check Box 153" hidden="1">
              <a:extLst>
                <a:ext uri="{63B3BB69-23CF-44E3-9099-C40C66FF867C}">
                  <a14:compatExt spid="_x0000_s3225"/>
                </a:ext>
                <a:ext uri="{FF2B5EF4-FFF2-40B4-BE49-F238E27FC236}">
                  <a16:creationId xmlns:a16="http://schemas.microsoft.com/office/drawing/2014/main" id="{00000000-0008-0000-0100-00009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175</xdr:row>
          <xdr:rowOff>38100</xdr:rowOff>
        </xdr:from>
        <xdr:to>
          <xdr:col>2</xdr:col>
          <xdr:colOff>981075</xdr:colOff>
          <xdr:row>175</xdr:row>
          <xdr:rowOff>180975</xdr:rowOff>
        </xdr:to>
        <xdr:sp macro="" textlink="">
          <xdr:nvSpPr>
            <xdr:cNvPr id="3226" name="Check Box 154" hidden="1">
              <a:extLst>
                <a:ext uri="{63B3BB69-23CF-44E3-9099-C40C66FF867C}">
                  <a14:compatExt spid="_x0000_s3226"/>
                </a:ext>
                <a:ext uri="{FF2B5EF4-FFF2-40B4-BE49-F238E27FC236}">
                  <a16:creationId xmlns:a16="http://schemas.microsoft.com/office/drawing/2014/main" id="{00000000-0008-0000-0100-00009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182</xdr:row>
          <xdr:rowOff>28575</xdr:rowOff>
        </xdr:from>
        <xdr:to>
          <xdr:col>2</xdr:col>
          <xdr:colOff>981075</xdr:colOff>
          <xdr:row>182</xdr:row>
          <xdr:rowOff>161925</xdr:rowOff>
        </xdr:to>
        <xdr:sp macro="" textlink="">
          <xdr:nvSpPr>
            <xdr:cNvPr id="3227" name="Check Box 155" hidden="1">
              <a:extLst>
                <a:ext uri="{63B3BB69-23CF-44E3-9099-C40C66FF867C}">
                  <a14:compatExt spid="_x0000_s3227"/>
                </a:ext>
                <a:ext uri="{FF2B5EF4-FFF2-40B4-BE49-F238E27FC236}">
                  <a16:creationId xmlns:a16="http://schemas.microsoft.com/office/drawing/2014/main" id="{00000000-0008-0000-0100-00009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181</xdr:row>
          <xdr:rowOff>28575</xdr:rowOff>
        </xdr:from>
        <xdr:to>
          <xdr:col>2</xdr:col>
          <xdr:colOff>990600</xdr:colOff>
          <xdr:row>181</xdr:row>
          <xdr:rowOff>161925</xdr:rowOff>
        </xdr:to>
        <xdr:sp macro="" textlink="">
          <xdr:nvSpPr>
            <xdr:cNvPr id="3228" name="Check Box 156" hidden="1">
              <a:extLst>
                <a:ext uri="{63B3BB69-23CF-44E3-9099-C40C66FF867C}">
                  <a14:compatExt spid="_x0000_s3228"/>
                </a:ext>
                <a:ext uri="{FF2B5EF4-FFF2-40B4-BE49-F238E27FC236}">
                  <a16:creationId xmlns:a16="http://schemas.microsoft.com/office/drawing/2014/main" id="{00000000-0008-0000-0100-00009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184</xdr:row>
          <xdr:rowOff>28575</xdr:rowOff>
        </xdr:from>
        <xdr:to>
          <xdr:col>2</xdr:col>
          <xdr:colOff>990600</xdr:colOff>
          <xdr:row>184</xdr:row>
          <xdr:rowOff>161925</xdr:rowOff>
        </xdr:to>
        <xdr:sp macro="" textlink="">
          <xdr:nvSpPr>
            <xdr:cNvPr id="3229" name="Check Box 157" hidden="1">
              <a:extLst>
                <a:ext uri="{63B3BB69-23CF-44E3-9099-C40C66FF867C}">
                  <a14:compatExt spid="_x0000_s3229"/>
                </a:ext>
                <a:ext uri="{FF2B5EF4-FFF2-40B4-BE49-F238E27FC236}">
                  <a16:creationId xmlns:a16="http://schemas.microsoft.com/office/drawing/2014/main" id="{00000000-0008-0000-0100-00009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185</xdr:row>
          <xdr:rowOff>38100</xdr:rowOff>
        </xdr:from>
        <xdr:to>
          <xdr:col>2</xdr:col>
          <xdr:colOff>1000125</xdr:colOff>
          <xdr:row>185</xdr:row>
          <xdr:rowOff>171450</xdr:rowOff>
        </xdr:to>
        <xdr:sp macro="" textlink="">
          <xdr:nvSpPr>
            <xdr:cNvPr id="3230" name="Check Box 158" hidden="1">
              <a:extLst>
                <a:ext uri="{63B3BB69-23CF-44E3-9099-C40C66FF867C}">
                  <a14:compatExt spid="_x0000_s3230"/>
                </a:ext>
                <a:ext uri="{FF2B5EF4-FFF2-40B4-BE49-F238E27FC236}">
                  <a16:creationId xmlns:a16="http://schemas.microsoft.com/office/drawing/2014/main" id="{00000000-0008-0000-0100-00009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174</xdr:row>
          <xdr:rowOff>28575</xdr:rowOff>
        </xdr:from>
        <xdr:to>
          <xdr:col>2</xdr:col>
          <xdr:colOff>990600</xdr:colOff>
          <xdr:row>174</xdr:row>
          <xdr:rowOff>161925</xdr:rowOff>
        </xdr:to>
        <xdr:sp macro="" textlink="">
          <xdr:nvSpPr>
            <xdr:cNvPr id="3231" name="Check Box 159" hidden="1">
              <a:extLst>
                <a:ext uri="{63B3BB69-23CF-44E3-9099-C40C66FF867C}">
                  <a14:compatExt spid="_x0000_s3231"/>
                </a:ext>
                <a:ext uri="{FF2B5EF4-FFF2-40B4-BE49-F238E27FC236}">
                  <a16:creationId xmlns:a16="http://schemas.microsoft.com/office/drawing/2014/main" id="{00000000-0008-0000-0100-00009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193</xdr:row>
          <xdr:rowOff>19050</xdr:rowOff>
        </xdr:from>
        <xdr:to>
          <xdr:col>2</xdr:col>
          <xdr:colOff>1276350</xdr:colOff>
          <xdr:row>193</xdr:row>
          <xdr:rowOff>180975</xdr:rowOff>
        </xdr:to>
        <xdr:sp macro="" textlink="">
          <xdr:nvSpPr>
            <xdr:cNvPr id="3232" name="Drop Down 160" hidden="1">
              <a:extLst>
                <a:ext uri="{63B3BB69-23CF-44E3-9099-C40C66FF867C}">
                  <a14:compatExt spid="_x0000_s3232"/>
                </a:ext>
                <a:ext uri="{FF2B5EF4-FFF2-40B4-BE49-F238E27FC236}">
                  <a16:creationId xmlns:a16="http://schemas.microsoft.com/office/drawing/2014/main" id="{00000000-0008-0000-0100-0000A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190</xdr:row>
          <xdr:rowOff>19050</xdr:rowOff>
        </xdr:from>
        <xdr:to>
          <xdr:col>2</xdr:col>
          <xdr:colOff>1266825</xdr:colOff>
          <xdr:row>190</xdr:row>
          <xdr:rowOff>180975</xdr:rowOff>
        </xdr:to>
        <xdr:sp macro="" textlink="">
          <xdr:nvSpPr>
            <xdr:cNvPr id="3233" name="Drop Down 161" hidden="1">
              <a:extLst>
                <a:ext uri="{63B3BB69-23CF-44E3-9099-C40C66FF867C}">
                  <a14:compatExt spid="_x0000_s3233"/>
                </a:ext>
                <a:ext uri="{FF2B5EF4-FFF2-40B4-BE49-F238E27FC236}">
                  <a16:creationId xmlns:a16="http://schemas.microsoft.com/office/drawing/2014/main" id="{00000000-0008-0000-0100-0000A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189</xdr:row>
          <xdr:rowOff>28575</xdr:rowOff>
        </xdr:from>
        <xdr:to>
          <xdr:col>2</xdr:col>
          <xdr:colOff>1276350</xdr:colOff>
          <xdr:row>189</xdr:row>
          <xdr:rowOff>180975</xdr:rowOff>
        </xdr:to>
        <xdr:sp macro="" textlink="">
          <xdr:nvSpPr>
            <xdr:cNvPr id="3234" name="Drop Down 162" hidden="1">
              <a:extLst>
                <a:ext uri="{63B3BB69-23CF-44E3-9099-C40C66FF867C}">
                  <a14:compatExt spid="_x0000_s3234"/>
                </a:ext>
                <a:ext uri="{FF2B5EF4-FFF2-40B4-BE49-F238E27FC236}">
                  <a16:creationId xmlns:a16="http://schemas.microsoft.com/office/drawing/2014/main" id="{00000000-0008-0000-0100-0000A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192</xdr:row>
          <xdr:rowOff>28575</xdr:rowOff>
        </xdr:from>
        <xdr:to>
          <xdr:col>2</xdr:col>
          <xdr:colOff>981075</xdr:colOff>
          <xdr:row>192</xdr:row>
          <xdr:rowOff>161925</xdr:rowOff>
        </xdr:to>
        <xdr:sp macro="" textlink="">
          <xdr:nvSpPr>
            <xdr:cNvPr id="3235" name="Check Box 163" hidden="1">
              <a:extLst>
                <a:ext uri="{63B3BB69-23CF-44E3-9099-C40C66FF867C}">
                  <a14:compatExt spid="_x0000_s3235"/>
                </a:ext>
                <a:ext uri="{FF2B5EF4-FFF2-40B4-BE49-F238E27FC236}">
                  <a16:creationId xmlns:a16="http://schemas.microsoft.com/office/drawing/2014/main" id="{00000000-0008-0000-0100-0000A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191</xdr:row>
          <xdr:rowOff>28575</xdr:rowOff>
        </xdr:from>
        <xdr:to>
          <xdr:col>2</xdr:col>
          <xdr:colOff>990600</xdr:colOff>
          <xdr:row>191</xdr:row>
          <xdr:rowOff>161925</xdr:rowOff>
        </xdr:to>
        <xdr:sp macro="" textlink="">
          <xdr:nvSpPr>
            <xdr:cNvPr id="3236" name="Check Box 164" hidden="1">
              <a:extLst>
                <a:ext uri="{63B3BB69-23CF-44E3-9099-C40C66FF867C}">
                  <a14:compatExt spid="_x0000_s3236"/>
                </a:ext>
                <a:ext uri="{FF2B5EF4-FFF2-40B4-BE49-F238E27FC236}">
                  <a16:creationId xmlns:a16="http://schemas.microsoft.com/office/drawing/2014/main" id="{00000000-0008-0000-0100-0000A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194</xdr:row>
          <xdr:rowOff>28575</xdr:rowOff>
        </xdr:from>
        <xdr:to>
          <xdr:col>2</xdr:col>
          <xdr:colOff>990600</xdr:colOff>
          <xdr:row>194</xdr:row>
          <xdr:rowOff>161925</xdr:rowOff>
        </xdr:to>
        <xdr:sp macro="" textlink="">
          <xdr:nvSpPr>
            <xdr:cNvPr id="3237" name="Check Box 165" hidden="1">
              <a:extLst>
                <a:ext uri="{63B3BB69-23CF-44E3-9099-C40C66FF867C}">
                  <a14:compatExt spid="_x0000_s3237"/>
                </a:ext>
                <a:ext uri="{FF2B5EF4-FFF2-40B4-BE49-F238E27FC236}">
                  <a16:creationId xmlns:a16="http://schemas.microsoft.com/office/drawing/2014/main" id="{00000000-0008-0000-0100-0000A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195</xdr:row>
          <xdr:rowOff>38100</xdr:rowOff>
        </xdr:from>
        <xdr:to>
          <xdr:col>2</xdr:col>
          <xdr:colOff>1000125</xdr:colOff>
          <xdr:row>195</xdr:row>
          <xdr:rowOff>171450</xdr:rowOff>
        </xdr:to>
        <xdr:sp macro="" textlink="">
          <xdr:nvSpPr>
            <xdr:cNvPr id="3238" name="Check Box 166" hidden="1">
              <a:extLst>
                <a:ext uri="{63B3BB69-23CF-44E3-9099-C40C66FF867C}">
                  <a14:compatExt spid="_x0000_s3238"/>
                </a:ext>
                <a:ext uri="{FF2B5EF4-FFF2-40B4-BE49-F238E27FC236}">
                  <a16:creationId xmlns:a16="http://schemas.microsoft.com/office/drawing/2014/main" id="{00000000-0008-0000-0100-0000A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167</xdr:row>
          <xdr:rowOff>9525</xdr:rowOff>
        </xdr:from>
        <xdr:to>
          <xdr:col>2</xdr:col>
          <xdr:colOff>1771650</xdr:colOff>
          <xdr:row>168</xdr:row>
          <xdr:rowOff>0</xdr:rowOff>
        </xdr:to>
        <xdr:sp macro="" textlink="">
          <xdr:nvSpPr>
            <xdr:cNvPr id="3239" name="Check Box 167" descr="Configure Region" hidden="1">
              <a:extLst>
                <a:ext uri="{63B3BB69-23CF-44E3-9099-C40C66FF867C}">
                  <a14:compatExt spid="_x0000_s3239"/>
                </a:ext>
                <a:ext uri="{FF2B5EF4-FFF2-40B4-BE49-F238E27FC236}">
                  <a16:creationId xmlns:a16="http://schemas.microsoft.com/office/drawing/2014/main" id="{00000000-0008-0000-0100-0000A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203</xdr:row>
          <xdr:rowOff>19050</xdr:rowOff>
        </xdr:from>
        <xdr:to>
          <xdr:col>2</xdr:col>
          <xdr:colOff>1276350</xdr:colOff>
          <xdr:row>203</xdr:row>
          <xdr:rowOff>180975</xdr:rowOff>
        </xdr:to>
        <xdr:sp macro="" textlink="">
          <xdr:nvSpPr>
            <xdr:cNvPr id="3240" name="Drop Down 168" hidden="1">
              <a:extLst>
                <a:ext uri="{63B3BB69-23CF-44E3-9099-C40C66FF867C}">
                  <a14:compatExt spid="_x0000_s3240"/>
                </a:ext>
                <a:ext uri="{FF2B5EF4-FFF2-40B4-BE49-F238E27FC236}">
                  <a16:creationId xmlns:a16="http://schemas.microsoft.com/office/drawing/2014/main" id="{00000000-0008-0000-0100-0000A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200</xdr:row>
          <xdr:rowOff>19050</xdr:rowOff>
        </xdr:from>
        <xdr:to>
          <xdr:col>2</xdr:col>
          <xdr:colOff>1266825</xdr:colOff>
          <xdr:row>200</xdr:row>
          <xdr:rowOff>180975</xdr:rowOff>
        </xdr:to>
        <xdr:sp macro="" textlink="">
          <xdr:nvSpPr>
            <xdr:cNvPr id="3241" name="Drop Down 169" hidden="1">
              <a:extLst>
                <a:ext uri="{63B3BB69-23CF-44E3-9099-C40C66FF867C}">
                  <a14:compatExt spid="_x0000_s3241"/>
                </a:ext>
                <a:ext uri="{FF2B5EF4-FFF2-40B4-BE49-F238E27FC236}">
                  <a16:creationId xmlns:a16="http://schemas.microsoft.com/office/drawing/2014/main" id="{00000000-0008-0000-0100-0000A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199</xdr:row>
          <xdr:rowOff>28575</xdr:rowOff>
        </xdr:from>
        <xdr:to>
          <xdr:col>2</xdr:col>
          <xdr:colOff>1276350</xdr:colOff>
          <xdr:row>199</xdr:row>
          <xdr:rowOff>180975</xdr:rowOff>
        </xdr:to>
        <xdr:sp macro="" textlink="">
          <xdr:nvSpPr>
            <xdr:cNvPr id="3242" name="Drop Down 170" hidden="1">
              <a:extLst>
                <a:ext uri="{63B3BB69-23CF-44E3-9099-C40C66FF867C}">
                  <a14:compatExt spid="_x0000_s3242"/>
                </a:ext>
                <a:ext uri="{FF2B5EF4-FFF2-40B4-BE49-F238E27FC236}">
                  <a16:creationId xmlns:a16="http://schemas.microsoft.com/office/drawing/2014/main" id="{00000000-0008-0000-0100-0000A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202</xdr:row>
          <xdr:rowOff>28575</xdr:rowOff>
        </xdr:from>
        <xdr:to>
          <xdr:col>2</xdr:col>
          <xdr:colOff>981075</xdr:colOff>
          <xdr:row>202</xdr:row>
          <xdr:rowOff>161925</xdr:rowOff>
        </xdr:to>
        <xdr:sp macro="" textlink="">
          <xdr:nvSpPr>
            <xdr:cNvPr id="3243" name="Check Box 171" hidden="1">
              <a:extLst>
                <a:ext uri="{63B3BB69-23CF-44E3-9099-C40C66FF867C}">
                  <a14:compatExt spid="_x0000_s3243"/>
                </a:ext>
                <a:ext uri="{FF2B5EF4-FFF2-40B4-BE49-F238E27FC236}">
                  <a16:creationId xmlns:a16="http://schemas.microsoft.com/office/drawing/2014/main" id="{00000000-0008-0000-0100-0000A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201</xdr:row>
          <xdr:rowOff>28575</xdr:rowOff>
        </xdr:from>
        <xdr:to>
          <xdr:col>2</xdr:col>
          <xdr:colOff>990600</xdr:colOff>
          <xdr:row>201</xdr:row>
          <xdr:rowOff>161925</xdr:rowOff>
        </xdr:to>
        <xdr:sp macro="" textlink="">
          <xdr:nvSpPr>
            <xdr:cNvPr id="3244" name="Check Box 172" hidden="1">
              <a:extLst>
                <a:ext uri="{63B3BB69-23CF-44E3-9099-C40C66FF867C}">
                  <a14:compatExt spid="_x0000_s3244"/>
                </a:ext>
                <a:ext uri="{FF2B5EF4-FFF2-40B4-BE49-F238E27FC236}">
                  <a16:creationId xmlns:a16="http://schemas.microsoft.com/office/drawing/2014/main" id="{00000000-0008-0000-0100-0000A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204</xdr:row>
          <xdr:rowOff>28575</xdr:rowOff>
        </xdr:from>
        <xdr:to>
          <xdr:col>2</xdr:col>
          <xdr:colOff>990600</xdr:colOff>
          <xdr:row>204</xdr:row>
          <xdr:rowOff>161925</xdr:rowOff>
        </xdr:to>
        <xdr:sp macro="" textlink="">
          <xdr:nvSpPr>
            <xdr:cNvPr id="3245" name="Check Box 173" hidden="1">
              <a:extLst>
                <a:ext uri="{63B3BB69-23CF-44E3-9099-C40C66FF867C}">
                  <a14:compatExt spid="_x0000_s3245"/>
                </a:ext>
                <a:ext uri="{FF2B5EF4-FFF2-40B4-BE49-F238E27FC236}">
                  <a16:creationId xmlns:a16="http://schemas.microsoft.com/office/drawing/2014/main" id="{00000000-0008-0000-0100-0000A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205</xdr:row>
          <xdr:rowOff>38100</xdr:rowOff>
        </xdr:from>
        <xdr:to>
          <xdr:col>2</xdr:col>
          <xdr:colOff>1000125</xdr:colOff>
          <xdr:row>205</xdr:row>
          <xdr:rowOff>171450</xdr:rowOff>
        </xdr:to>
        <xdr:sp macro="" textlink="">
          <xdr:nvSpPr>
            <xdr:cNvPr id="3246" name="Check Box 174" hidden="1">
              <a:extLst>
                <a:ext uri="{63B3BB69-23CF-44E3-9099-C40C66FF867C}">
                  <a14:compatExt spid="_x0000_s3246"/>
                </a:ext>
                <a:ext uri="{FF2B5EF4-FFF2-40B4-BE49-F238E27FC236}">
                  <a16:creationId xmlns:a16="http://schemas.microsoft.com/office/drawing/2014/main" id="{00000000-0008-0000-0100-0000A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213</xdr:row>
          <xdr:rowOff>19050</xdr:rowOff>
        </xdr:from>
        <xdr:to>
          <xdr:col>2</xdr:col>
          <xdr:colOff>1276350</xdr:colOff>
          <xdr:row>213</xdr:row>
          <xdr:rowOff>180975</xdr:rowOff>
        </xdr:to>
        <xdr:sp macro="" textlink="">
          <xdr:nvSpPr>
            <xdr:cNvPr id="3247" name="Drop Down 175" hidden="1">
              <a:extLst>
                <a:ext uri="{63B3BB69-23CF-44E3-9099-C40C66FF867C}">
                  <a14:compatExt spid="_x0000_s3247"/>
                </a:ext>
                <a:ext uri="{FF2B5EF4-FFF2-40B4-BE49-F238E27FC236}">
                  <a16:creationId xmlns:a16="http://schemas.microsoft.com/office/drawing/2014/main" id="{00000000-0008-0000-0100-0000A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210</xdr:row>
          <xdr:rowOff>19050</xdr:rowOff>
        </xdr:from>
        <xdr:to>
          <xdr:col>2</xdr:col>
          <xdr:colOff>1266825</xdr:colOff>
          <xdr:row>210</xdr:row>
          <xdr:rowOff>180975</xdr:rowOff>
        </xdr:to>
        <xdr:sp macro="" textlink="">
          <xdr:nvSpPr>
            <xdr:cNvPr id="3248" name="Drop Down 176" hidden="1">
              <a:extLst>
                <a:ext uri="{63B3BB69-23CF-44E3-9099-C40C66FF867C}">
                  <a14:compatExt spid="_x0000_s3248"/>
                </a:ext>
                <a:ext uri="{FF2B5EF4-FFF2-40B4-BE49-F238E27FC236}">
                  <a16:creationId xmlns:a16="http://schemas.microsoft.com/office/drawing/2014/main" id="{00000000-0008-0000-0100-0000B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209</xdr:row>
          <xdr:rowOff>28575</xdr:rowOff>
        </xdr:from>
        <xdr:to>
          <xdr:col>2</xdr:col>
          <xdr:colOff>1276350</xdr:colOff>
          <xdr:row>209</xdr:row>
          <xdr:rowOff>180975</xdr:rowOff>
        </xdr:to>
        <xdr:sp macro="" textlink="">
          <xdr:nvSpPr>
            <xdr:cNvPr id="3249" name="Drop Down 177" hidden="1">
              <a:extLst>
                <a:ext uri="{63B3BB69-23CF-44E3-9099-C40C66FF867C}">
                  <a14:compatExt spid="_x0000_s3249"/>
                </a:ext>
                <a:ext uri="{FF2B5EF4-FFF2-40B4-BE49-F238E27FC236}">
                  <a16:creationId xmlns:a16="http://schemas.microsoft.com/office/drawing/2014/main" id="{00000000-0008-0000-0100-0000B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212</xdr:row>
          <xdr:rowOff>28575</xdr:rowOff>
        </xdr:from>
        <xdr:to>
          <xdr:col>2</xdr:col>
          <xdr:colOff>981075</xdr:colOff>
          <xdr:row>212</xdr:row>
          <xdr:rowOff>161925</xdr:rowOff>
        </xdr:to>
        <xdr:sp macro="" textlink="">
          <xdr:nvSpPr>
            <xdr:cNvPr id="3250" name="Check Box 178" hidden="1">
              <a:extLst>
                <a:ext uri="{63B3BB69-23CF-44E3-9099-C40C66FF867C}">
                  <a14:compatExt spid="_x0000_s3250"/>
                </a:ext>
                <a:ext uri="{FF2B5EF4-FFF2-40B4-BE49-F238E27FC236}">
                  <a16:creationId xmlns:a16="http://schemas.microsoft.com/office/drawing/2014/main" id="{00000000-0008-0000-0100-0000B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211</xdr:row>
          <xdr:rowOff>28575</xdr:rowOff>
        </xdr:from>
        <xdr:to>
          <xdr:col>2</xdr:col>
          <xdr:colOff>990600</xdr:colOff>
          <xdr:row>211</xdr:row>
          <xdr:rowOff>161925</xdr:rowOff>
        </xdr:to>
        <xdr:sp macro="" textlink="">
          <xdr:nvSpPr>
            <xdr:cNvPr id="3251" name="Check Box 179" hidden="1">
              <a:extLst>
                <a:ext uri="{63B3BB69-23CF-44E3-9099-C40C66FF867C}">
                  <a14:compatExt spid="_x0000_s3251"/>
                </a:ext>
                <a:ext uri="{FF2B5EF4-FFF2-40B4-BE49-F238E27FC236}">
                  <a16:creationId xmlns:a16="http://schemas.microsoft.com/office/drawing/2014/main" id="{00000000-0008-0000-0100-0000B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214</xdr:row>
          <xdr:rowOff>28575</xdr:rowOff>
        </xdr:from>
        <xdr:to>
          <xdr:col>2</xdr:col>
          <xdr:colOff>990600</xdr:colOff>
          <xdr:row>214</xdr:row>
          <xdr:rowOff>161925</xdr:rowOff>
        </xdr:to>
        <xdr:sp macro="" textlink="">
          <xdr:nvSpPr>
            <xdr:cNvPr id="3252" name="Check Box 180" hidden="1">
              <a:extLst>
                <a:ext uri="{63B3BB69-23CF-44E3-9099-C40C66FF867C}">
                  <a14:compatExt spid="_x0000_s3252"/>
                </a:ext>
                <a:ext uri="{FF2B5EF4-FFF2-40B4-BE49-F238E27FC236}">
                  <a16:creationId xmlns:a16="http://schemas.microsoft.com/office/drawing/2014/main" id="{00000000-0008-0000-0100-0000B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215</xdr:row>
          <xdr:rowOff>38100</xdr:rowOff>
        </xdr:from>
        <xdr:to>
          <xdr:col>2</xdr:col>
          <xdr:colOff>1000125</xdr:colOff>
          <xdr:row>215</xdr:row>
          <xdr:rowOff>171450</xdr:rowOff>
        </xdr:to>
        <xdr:sp macro="" textlink="">
          <xdr:nvSpPr>
            <xdr:cNvPr id="3253" name="Check Box 181" hidden="1">
              <a:extLst>
                <a:ext uri="{63B3BB69-23CF-44E3-9099-C40C66FF867C}">
                  <a14:compatExt spid="_x0000_s3253"/>
                </a:ext>
                <a:ext uri="{FF2B5EF4-FFF2-40B4-BE49-F238E27FC236}">
                  <a16:creationId xmlns:a16="http://schemas.microsoft.com/office/drawing/2014/main" id="{00000000-0008-0000-0100-0000B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223</xdr:row>
          <xdr:rowOff>19050</xdr:rowOff>
        </xdr:from>
        <xdr:to>
          <xdr:col>2</xdr:col>
          <xdr:colOff>1276350</xdr:colOff>
          <xdr:row>223</xdr:row>
          <xdr:rowOff>180975</xdr:rowOff>
        </xdr:to>
        <xdr:sp macro="" textlink="">
          <xdr:nvSpPr>
            <xdr:cNvPr id="3254" name="Drop Down 182" hidden="1">
              <a:extLst>
                <a:ext uri="{63B3BB69-23CF-44E3-9099-C40C66FF867C}">
                  <a14:compatExt spid="_x0000_s3254"/>
                </a:ext>
                <a:ext uri="{FF2B5EF4-FFF2-40B4-BE49-F238E27FC236}">
                  <a16:creationId xmlns:a16="http://schemas.microsoft.com/office/drawing/2014/main" id="{00000000-0008-0000-0100-0000B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220</xdr:row>
          <xdr:rowOff>19050</xdr:rowOff>
        </xdr:from>
        <xdr:to>
          <xdr:col>2</xdr:col>
          <xdr:colOff>1266825</xdr:colOff>
          <xdr:row>220</xdr:row>
          <xdr:rowOff>180975</xdr:rowOff>
        </xdr:to>
        <xdr:sp macro="" textlink="">
          <xdr:nvSpPr>
            <xdr:cNvPr id="3255" name="Drop Down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1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219</xdr:row>
          <xdr:rowOff>28575</xdr:rowOff>
        </xdr:from>
        <xdr:to>
          <xdr:col>2</xdr:col>
          <xdr:colOff>1276350</xdr:colOff>
          <xdr:row>219</xdr:row>
          <xdr:rowOff>180975</xdr:rowOff>
        </xdr:to>
        <xdr:sp macro="" textlink="">
          <xdr:nvSpPr>
            <xdr:cNvPr id="3256" name="Drop Down 184" hidden="1">
              <a:extLst>
                <a:ext uri="{63B3BB69-23CF-44E3-9099-C40C66FF867C}">
                  <a14:compatExt spid="_x0000_s3256"/>
                </a:ext>
                <a:ext uri="{FF2B5EF4-FFF2-40B4-BE49-F238E27FC236}">
                  <a16:creationId xmlns:a16="http://schemas.microsoft.com/office/drawing/2014/main" id="{00000000-0008-0000-0100-0000B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222</xdr:row>
          <xdr:rowOff>28575</xdr:rowOff>
        </xdr:from>
        <xdr:to>
          <xdr:col>2</xdr:col>
          <xdr:colOff>981075</xdr:colOff>
          <xdr:row>222</xdr:row>
          <xdr:rowOff>161925</xdr:rowOff>
        </xdr:to>
        <xdr:sp macro="" textlink="">
          <xdr:nvSpPr>
            <xdr:cNvPr id="3257" name="Check Box 185" hidden="1">
              <a:extLst>
                <a:ext uri="{63B3BB69-23CF-44E3-9099-C40C66FF867C}">
                  <a14:compatExt spid="_x0000_s3257"/>
                </a:ext>
                <a:ext uri="{FF2B5EF4-FFF2-40B4-BE49-F238E27FC236}">
                  <a16:creationId xmlns:a16="http://schemas.microsoft.com/office/drawing/2014/main" id="{00000000-0008-0000-0100-0000B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221</xdr:row>
          <xdr:rowOff>28575</xdr:rowOff>
        </xdr:from>
        <xdr:to>
          <xdr:col>2</xdr:col>
          <xdr:colOff>990600</xdr:colOff>
          <xdr:row>221</xdr:row>
          <xdr:rowOff>161925</xdr:rowOff>
        </xdr:to>
        <xdr:sp macro="" textlink="">
          <xdr:nvSpPr>
            <xdr:cNvPr id="3258" name="Check Box 186" hidden="1">
              <a:extLst>
                <a:ext uri="{63B3BB69-23CF-44E3-9099-C40C66FF867C}">
                  <a14:compatExt spid="_x0000_s3258"/>
                </a:ext>
                <a:ext uri="{FF2B5EF4-FFF2-40B4-BE49-F238E27FC236}">
                  <a16:creationId xmlns:a16="http://schemas.microsoft.com/office/drawing/2014/main" id="{00000000-0008-0000-0100-0000B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224</xdr:row>
          <xdr:rowOff>28575</xdr:rowOff>
        </xdr:from>
        <xdr:to>
          <xdr:col>2</xdr:col>
          <xdr:colOff>990600</xdr:colOff>
          <xdr:row>224</xdr:row>
          <xdr:rowOff>161925</xdr:rowOff>
        </xdr:to>
        <xdr:sp macro="" textlink="">
          <xdr:nvSpPr>
            <xdr:cNvPr id="3259" name="Check Box 187" hidden="1">
              <a:extLst>
                <a:ext uri="{63B3BB69-23CF-44E3-9099-C40C66FF867C}">
                  <a14:compatExt spid="_x0000_s3259"/>
                </a:ext>
                <a:ext uri="{FF2B5EF4-FFF2-40B4-BE49-F238E27FC236}">
                  <a16:creationId xmlns:a16="http://schemas.microsoft.com/office/drawing/2014/main" id="{00000000-0008-0000-0100-0000B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225</xdr:row>
          <xdr:rowOff>38100</xdr:rowOff>
        </xdr:from>
        <xdr:to>
          <xdr:col>2</xdr:col>
          <xdr:colOff>1000125</xdr:colOff>
          <xdr:row>225</xdr:row>
          <xdr:rowOff>171450</xdr:rowOff>
        </xdr:to>
        <xdr:sp macro="" textlink="">
          <xdr:nvSpPr>
            <xdr:cNvPr id="3260" name="Check Box 188" hidden="1">
              <a:extLst>
                <a:ext uri="{63B3BB69-23CF-44E3-9099-C40C66FF867C}">
                  <a14:compatExt spid="_x0000_s3260"/>
                </a:ext>
                <a:ext uri="{FF2B5EF4-FFF2-40B4-BE49-F238E27FC236}">
                  <a16:creationId xmlns:a16="http://schemas.microsoft.com/office/drawing/2014/main" id="{00000000-0008-0000-0100-0000B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233</xdr:row>
          <xdr:rowOff>19050</xdr:rowOff>
        </xdr:from>
        <xdr:to>
          <xdr:col>2</xdr:col>
          <xdr:colOff>1276350</xdr:colOff>
          <xdr:row>233</xdr:row>
          <xdr:rowOff>180975</xdr:rowOff>
        </xdr:to>
        <xdr:sp macro="" textlink="">
          <xdr:nvSpPr>
            <xdr:cNvPr id="3261" name="Drop Down 189" hidden="1">
              <a:extLst>
                <a:ext uri="{63B3BB69-23CF-44E3-9099-C40C66FF867C}">
                  <a14:compatExt spid="_x0000_s3261"/>
                </a:ext>
                <a:ext uri="{FF2B5EF4-FFF2-40B4-BE49-F238E27FC236}">
                  <a16:creationId xmlns:a16="http://schemas.microsoft.com/office/drawing/2014/main" id="{00000000-0008-0000-0100-0000B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230</xdr:row>
          <xdr:rowOff>19050</xdr:rowOff>
        </xdr:from>
        <xdr:to>
          <xdr:col>2</xdr:col>
          <xdr:colOff>1266825</xdr:colOff>
          <xdr:row>230</xdr:row>
          <xdr:rowOff>180975</xdr:rowOff>
        </xdr:to>
        <xdr:sp macro="" textlink="">
          <xdr:nvSpPr>
            <xdr:cNvPr id="3262" name="Drop Down 190" hidden="1">
              <a:extLst>
                <a:ext uri="{63B3BB69-23CF-44E3-9099-C40C66FF867C}">
                  <a14:compatExt spid="_x0000_s3262"/>
                </a:ext>
                <a:ext uri="{FF2B5EF4-FFF2-40B4-BE49-F238E27FC236}">
                  <a16:creationId xmlns:a16="http://schemas.microsoft.com/office/drawing/2014/main" id="{00000000-0008-0000-0100-0000B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229</xdr:row>
          <xdr:rowOff>28575</xdr:rowOff>
        </xdr:from>
        <xdr:to>
          <xdr:col>2</xdr:col>
          <xdr:colOff>1276350</xdr:colOff>
          <xdr:row>229</xdr:row>
          <xdr:rowOff>180975</xdr:rowOff>
        </xdr:to>
        <xdr:sp macro="" textlink="">
          <xdr:nvSpPr>
            <xdr:cNvPr id="3263" name="Drop Down 191" hidden="1">
              <a:extLst>
                <a:ext uri="{63B3BB69-23CF-44E3-9099-C40C66FF867C}">
                  <a14:compatExt spid="_x0000_s3263"/>
                </a:ext>
                <a:ext uri="{FF2B5EF4-FFF2-40B4-BE49-F238E27FC236}">
                  <a16:creationId xmlns:a16="http://schemas.microsoft.com/office/drawing/2014/main" id="{00000000-0008-0000-0100-0000B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232</xdr:row>
          <xdr:rowOff>28575</xdr:rowOff>
        </xdr:from>
        <xdr:to>
          <xdr:col>2</xdr:col>
          <xdr:colOff>981075</xdr:colOff>
          <xdr:row>232</xdr:row>
          <xdr:rowOff>161925</xdr:rowOff>
        </xdr:to>
        <xdr:sp macro="" textlink="">
          <xdr:nvSpPr>
            <xdr:cNvPr id="3264" name="Check Box 192" hidden="1">
              <a:extLst>
                <a:ext uri="{63B3BB69-23CF-44E3-9099-C40C66FF867C}">
                  <a14:compatExt spid="_x0000_s3264"/>
                </a:ext>
                <a:ext uri="{FF2B5EF4-FFF2-40B4-BE49-F238E27FC236}">
                  <a16:creationId xmlns:a16="http://schemas.microsoft.com/office/drawing/2014/main" id="{00000000-0008-0000-0100-0000C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231</xdr:row>
          <xdr:rowOff>28575</xdr:rowOff>
        </xdr:from>
        <xdr:to>
          <xdr:col>2</xdr:col>
          <xdr:colOff>990600</xdr:colOff>
          <xdr:row>231</xdr:row>
          <xdr:rowOff>161925</xdr:rowOff>
        </xdr:to>
        <xdr:sp macro="" textlink="">
          <xdr:nvSpPr>
            <xdr:cNvPr id="3265" name="Check Box 193" hidden="1">
              <a:extLst>
                <a:ext uri="{63B3BB69-23CF-44E3-9099-C40C66FF867C}">
                  <a14:compatExt spid="_x0000_s3265"/>
                </a:ext>
                <a:ext uri="{FF2B5EF4-FFF2-40B4-BE49-F238E27FC236}">
                  <a16:creationId xmlns:a16="http://schemas.microsoft.com/office/drawing/2014/main" id="{00000000-0008-0000-0100-0000C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234</xdr:row>
          <xdr:rowOff>28575</xdr:rowOff>
        </xdr:from>
        <xdr:to>
          <xdr:col>2</xdr:col>
          <xdr:colOff>990600</xdr:colOff>
          <xdr:row>234</xdr:row>
          <xdr:rowOff>161925</xdr:rowOff>
        </xdr:to>
        <xdr:sp macro="" textlink="">
          <xdr:nvSpPr>
            <xdr:cNvPr id="3266" name="Check Box 194" hidden="1">
              <a:extLst>
                <a:ext uri="{63B3BB69-23CF-44E3-9099-C40C66FF867C}">
                  <a14:compatExt spid="_x0000_s3266"/>
                </a:ext>
                <a:ext uri="{FF2B5EF4-FFF2-40B4-BE49-F238E27FC236}">
                  <a16:creationId xmlns:a16="http://schemas.microsoft.com/office/drawing/2014/main" id="{00000000-0008-0000-0100-0000C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235</xdr:row>
          <xdr:rowOff>38100</xdr:rowOff>
        </xdr:from>
        <xdr:to>
          <xdr:col>2</xdr:col>
          <xdr:colOff>1000125</xdr:colOff>
          <xdr:row>235</xdr:row>
          <xdr:rowOff>171450</xdr:rowOff>
        </xdr:to>
        <xdr:sp macro="" textlink="">
          <xdr:nvSpPr>
            <xdr:cNvPr id="3267" name="Check Box 195" hidden="1">
              <a:extLst>
                <a:ext uri="{63B3BB69-23CF-44E3-9099-C40C66FF867C}">
                  <a14:compatExt spid="_x0000_s3267"/>
                </a:ext>
                <a:ext uri="{FF2B5EF4-FFF2-40B4-BE49-F238E27FC236}">
                  <a16:creationId xmlns:a16="http://schemas.microsoft.com/office/drawing/2014/main" id="{00000000-0008-0000-0100-0000C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243</xdr:row>
          <xdr:rowOff>19050</xdr:rowOff>
        </xdr:from>
        <xdr:to>
          <xdr:col>2</xdr:col>
          <xdr:colOff>1276350</xdr:colOff>
          <xdr:row>243</xdr:row>
          <xdr:rowOff>180975</xdr:rowOff>
        </xdr:to>
        <xdr:sp macro="" textlink="">
          <xdr:nvSpPr>
            <xdr:cNvPr id="3268" name="Drop Down 196" hidden="1">
              <a:extLst>
                <a:ext uri="{63B3BB69-23CF-44E3-9099-C40C66FF867C}">
                  <a14:compatExt spid="_x0000_s3268"/>
                </a:ext>
                <a:ext uri="{FF2B5EF4-FFF2-40B4-BE49-F238E27FC236}">
                  <a16:creationId xmlns:a16="http://schemas.microsoft.com/office/drawing/2014/main" id="{00000000-0008-0000-0100-0000C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240</xdr:row>
          <xdr:rowOff>19050</xdr:rowOff>
        </xdr:from>
        <xdr:to>
          <xdr:col>2</xdr:col>
          <xdr:colOff>1266825</xdr:colOff>
          <xdr:row>240</xdr:row>
          <xdr:rowOff>180975</xdr:rowOff>
        </xdr:to>
        <xdr:sp macro="" textlink="">
          <xdr:nvSpPr>
            <xdr:cNvPr id="3269" name="Drop Down 197" hidden="1">
              <a:extLst>
                <a:ext uri="{63B3BB69-23CF-44E3-9099-C40C66FF867C}">
                  <a14:compatExt spid="_x0000_s3269"/>
                </a:ext>
                <a:ext uri="{FF2B5EF4-FFF2-40B4-BE49-F238E27FC236}">
                  <a16:creationId xmlns:a16="http://schemas.microsoft.com/office/drawing/2014/main" id="{00000000-0008-0000-0100-0000C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239</xdr:row>
          <xdr:rowOff>28575</xdr:rowOff>
        </xdr:from>
        <xdr:to>
          <xdr:col>2</xdr:col>
          <xdr:colOff>1276350</xdr:colOff>
          <xdr:row>239</xdr:row>
          <xdr:rowOff>180975</xdr:rowOff>
        </xdr:to>
        <xdr:sp macro="" textlink="">
          <xdr:nvSpPr>
            <xdr:cNvPr id="3270" name="Drop Down 198" hidden="1">
              <a:extLst>
                <a:ext uri="{63B3BB69-23CF-44E3-9099-C40C66FF867C}">
                  <a14:compatExt spid="_x0000_s3270"/>
                </a:ext>
                <a:ext uri="{FF2B5EF4-FFF2-40B4-BE49-F238E27FC236}">
                  <a16:creationId xmlns:a16="http://schemas.microsoft.com/office/drawing/2014/main" id="{00000000-0008-0000-0100-0000C6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2143125</xdr:colOff>
          <xdr:row>242</xdr:row>
          <xdr:rowOff>28575</xdr:rowOff>
        </xdr:from>
        <xdr:to>
          <xdr:col>2</xdr:col>
          <xdr:colOff>981075</xdr:colOff>
          <xdr:row>242</xdr:row>
          <xdr:rowOff>161925</xdr:rowOff>
        </xdr:to>
        <xdr:sp macro="" textlink="">
          <xdr:nvSpPr>
            <xdr:cNvPr id="3271" name="Check Box 199" hidden="1">
              <a:extLst>
                <a:ext uri="{63B3BB69-23CF-44E3-9099-C40C66FF867C}">
                  <a14:compatExt spid="_x0000_s3271"/>
                </a:ext>
                <a:ext uri="{FF2B5EF4-FFF2-40B4-BE49-F238E27FC236}">
                  <a16:creationId xmlns:a16="http://schemas.microsoft.com/office/drawing/2014/main" id="{00000000-0008-0000-0100-0000C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241</xdr:row>
          <xdr:rowOff>28575</xdr:rowOff>
        </xdr:from>
        <xdr:to>
          <xdr:col>2</xdr:col>
          <xdr:colOff>990600</xdr:colOff>
          <xdr:row>241</xdr:row>
          <xdr:rowOff>161925</xdr:rowOff>
        </xdr:to>
        <xdr:sp macro="" textlink="">
          <xdr:nvSpPr>
            <xdr:cNvPr id="3272" name="Check Box 200" hidden="1">
              <a:extLst>
                <a:ext uri="{63B3BB69-23CF-44E3-9099-C40C66FF867C}">
                  <a14:compatExt spid="_x0000_s3272"/>
                </a:ext>
                <a:ext uri="{FF2B5EF4-FFF2-40B4-BE49-F238E27FC236}">
                  <a16:creationId xmlns:a16="http://schemas.microsoft.com/office/drawing/2014/main" id="{00000000-0008-0000-0100-0000C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244</xdr:row>
          <xdr:rowOff>28575</xdr:rowOff>
        </xdr:from>
        <xdr:to>
          <xdr:col>2</xdr:col>
          <xdr:colOff>990600</xdr:colOff>
          <xdr:row>244</xdr:row>
          <xdr:rowOff>161925</xdr:rowOff>
        </xdr:to>
        <xdr:sp macro="" textlink="">
          <xdr:nvSpPr>
            <xdr:cNvPr id="3273" name="Check Box 201" hidden="1">
              <a:extLst>
                <a:ext uri="{63B3BB69-23CF-44E3-9099-C40C66FF867C}">
                  <a14:compatExt spid="_x0000_s3273"/>
                </a:ext>
                <a:ext uri="{FF2B5EF4-FFF2-40B4-BE49-F238E27FC236}">
                  <a16:creationId xmlns:a16="http://schemas.microsoft.com/office/drawing/2014/main" id="{00000000-0008-0000-0100-0000C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245</xdr:row>
          <xdr:rowOff>38100</xdr:rowOff>
        </xdr:from>
        <xdr:to>
          <xdr:col>2</xdr:col>
          <xdr:colOff>1000125</xdr:colOff>
          <xdr:row>245</xdr:row>
          <xdr:rowOff>171450</xdr:rowOff>
        </xdr:to>
        <xdr:sp macro="" textlink="">
          <xdr:nvSpPr>
            <xdr:cNvPr id="3274" name="Check Box 202" hidden="1">
              <a:extLst>
                <a:ext uri="{63B3BB69-23CF-44E3-9099-C40C66FF867C}">
                  <a14:compatExt spid="_x0000_s3274"/>
                </a:ext>
                <a:ext uri="{FF2B5EF4-FFF2-40B4-BE49-F238E27FC236}">
                  <a16:creationId xmlns:a16="http://schemas.microsoft.com/office/drawing/2014/main" id="{00000000-0008-0000-0100-0000C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177</xdr:row>
          <xdr:rowOff>9525</xdr:rowOff>
        </xdr:from>
        <xdr:to>
          <xdr:col>2</xdr:col>
          <xdr:colOff>1771650</xdr:colOff>
          <xdr:row>178</xdr:row>
          <xdr:rowOff>0</xdr:rowOff>
        </xdr:to>
        <xdr:sp macro="" textlink="">
          <xdr:nvSpPr>
            <xdr:cNvPr id="3275" name="Check Box 203" descr="Configure Region" hidden="1">
              <a:extLst>
                <a:ext uri="{63B3BB69-23CF-44E3-9099-C40C66FF867C}">
                  <a14:compatExt spid="_x0000_s3275"/>
                </a:ext>
                <a:ext uri="{FF2B5EF4-FFF2-40B4-BE49-F238E27FC236}">
                  <a16:creationId xmlns:a16="http://schemas.microsoft.com/office/drawing/2014/main" id="{00000000-0008-0000-0100-0000C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187</xdr:row>
          <xdr:rowOff>9525</xdr:rowOff>
        </xdr:from>
        <xdr:to>
          <xdr:col>2</xdr:col>
          <xdr:colOff>1771650</xdr:colOff>
          <xdr:row>188</xdr:row>
          <xdr:rowOff>0</xdr:rowOff>
        </xdr:to>
        <xdr:sp macro="" textlink="">
          <xdr:nvSpPr>
            <xdr:cNvPr id="3276" name="Check Box 204" descr="Configure Region" hidden="1">
              <a:extLst>
                <a:ext uri="{63B3BB69-23CF-44E3-9099-C40C66FF867C}">
                  <a14:compatExt spid="_x0000_s3276"/>
                </a:ext>
                <a:ext uri="{FF2B5EF4-FFF2-40B4-BE49-F238E27FC236}">
                  <a16:creationId xmlns:a16="http://schemas.microsoft.com/office/drawing/2014/main" id="{00000000-0008-0000-0100-0000C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197</xdr:row>
          <xdr:rowOff>9525</xdr:rowOff>
        </xdr:from>
        <xdr:to>
          <xdr:col>2</xdr:col>
          <xdr:colOff>1771650</xdr:colOff>
          <xdr:row>198</xdr:row>
          <xdr:rowOff>0</xdr:rowOff>
        </xdr:to>
        <xdr:sp macro="" textlink="">
          <xdr:nvSpPr>
            <xdr:cNvPr id="3277" name="Check Box 205" descr="Configure Region" hidden="1">
              <a:extLst>
                <a:ext uri="{63B3BB69-23CF-44E3-9099-C40C66FF867C}">
                  <a14:compatExt spid="_x0000_s3277"/>
                </a:ext>
                <a:ext uri="{FF2B5EF4-FFF2-40B4-BE49-F238E27FC236}">
                  <a16:creationId xmlns:a16="http://schemas.microsoft.com/office/drawing/2014/main" id="{00000000-0008-0000-0100-0000C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207</xdr:row>
          <xdr:rowOff>9525</xdr:rowOff>
        </xdr:from>
        <xdr:to>
          <xdr:col>2</xdr:col>
          <xdr:colOff>1771650</xdr:colOff>
          <xdr:row>208</xdr:row>
          <xdr:rowOff>0</xdr:rowOff>
        </xdr:to>
        <xdr:sp macro="" textlink="">
          <xdr:nvSpPr>
            <xdr:cNvPr id="3278" name="Check Box 206" descr="Configure Region" hidden="1">
              <a:extLst>
                <a:ext uri="{63B3BB69-23CF-44E3-9099-C40C66FF867C}">
                  <a14:compatExt spid="_x0000_s3278"/>
                </a:ext>
                <a:ext uri="{FF2B5EF4-FFF2-40B4-BE49-F238E27FC236}">
                  <a16:creationId xmlns:a16="http://schemas.microsoft.com/office/drawing/2014/main" id="{00000000-0008-0000-0100-0000C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217</xdr:row>
          <xdr:rowOff>9525</xdr:rowOff>
        </xdr:from>
        <xdr:to>
          <xdr:col>2</xdr:col>
          <xdr:colOff>1771650</xdr:colOff>
          <xdr:row>218</xdr:row>
          <xdr:rowOff>0</xdr:rowOff>
        </xdr:to>
        <xdr:sp macro="" textlink="">
          <xdr:nvSpPr>
            <xdr:cNvPr id="3279" name="Check Box 207" descr="Configure Region" hidden="1">
              <a:extLst>
                <a:ext uri="{63B3BB69-23CF-44E3-9099-C40C66FF867C}">
                  <a14:compatExt spid="_x0000_s3279"/>
                </a:ext>
                <a:ext uri="{FF2B5EF4-FFF2-40B4-BE49-F238E27FC236}">
                  <a16:creationId xmlns:a16="http://schemas.microsoft.com/office/drawing/2014/main" id="{00000000-0008-0000-0100-0000CF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227</xdr:row>
          <xdr:rowOff>9525</xdr:rowOff>
        </xdr:from>
        <xdr:to>
          <xdr:col>2</xdr:col>
          <xdr:colOff>1771650</xdr:colOff>
          <xdr:row>228</xdr:row>
          <xdr:rowOff>0</xdr:rowOff>
        </xdr:to>
        <xdr:sp macro="" textlink="">
          <xdr:nvSpPr>
            <xdr:cNvPr id="3280" name="Check Box 208" descr="Configure Region" hidden="1">
              <a:extLst>
                <a:ext uri="{63B3BB69-23CF-44E3-9099-C40C66FF867C}">
                  <a14:compatExt spid="_x0000_s3280"/>
                </a:ext>
                <a:ext uri="{FF2B5EF4-FFF2-40B4-BE49-F238E27FC236}">
                  <a16:creationId xmlns:a16="http://schemas.microsoft.com/office/drawing/2014/main" id="{00000000-0008-0000-0100-0000D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237</xdr:row>
          <xdr:rowOff>9525</xdr:rowOff>
        </xdr:from>
        <xdr:to>
          <xdr:col>2</xdr:col>
          <xdr:colOff>1771650</xdr:colOff>
          <xdr:row>238</xdr:row>
          <xdr:rowOff>0</xdr:rowOff>
        </xdr:to>
        <xdr:sp macro="" textlink="">
          <xdr:nvSpPr>
            <xdr:cNvPr id="3281" name="Check Box 209" descr="Configure Region" hidden="1">
              <a:extLst>
                <a:ext uri="{63B3BB69-23CF-44E3-9099-C40C66FF867C}">
                  <a14:compatExt spid="_x0000_s3281"/>
                </a:ext>
                <a:ext uri="{FF2B5EF4-FFF2-40B4-BE49-F238E27FC236}">
                  <a16:creationId xmlns:a16="http://schemas.microsoft.com/office/drawing/2014/main" id="{00000000-0008-0000-0100-0000D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NS Attr Indirection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42" Type="http://schemas.openxmlformats.org/officeDocument/2006/relationships/ctrlProp" Target="../ctrlProps/ctrlProp38.xml"/><Relationship Id="rId63" Type="http://schemas.openxmlformats.org/officeDocument/2006/relationships/ctrlProp" Target="../ctrlProps/ctrlProp59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191" Type="http://schemas.openxmlformats.org/officeDocument/2006/relationships/ctrlProp" Target="../ctrlProps/ctrlProp187.xml"/><Relationship Id="rId205" Type="http://schemas.openxmlformats.org/officeDocument/2006/relationships/ctrlProp" Target="../ctrlProps/ctrlProp201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32" Type="http://schemas.openxmlformats.org/officeDocument/2006/relationships/ctrlProp" Target="../ctrlProps/ctrlProp28.xml"/><Relationship Id="rId53" Type="http://schemas.openxmlformats.org/officeDocument/2006/relationships/ctrlProp" Target="../ctrlProps/ctrlProp49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149" Type="http://schemas.openxmlformats.org/officeDocument/2006/relationships/ctrlProp" Target="../ctrlProps/ctrlProp145.xml"/><Relationship Id="rId5" Type="http://schemas.openxmlformats.org/officeDocument/2006/relationships/ctrlProp" Target="../ctrlProps/ctrlProp1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181" Type="http://schemas.openxmlformats.org/officeDocument/2006/relationships/ctrlProp" Target="../ctrlProps/ctrlProp177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92" Type="http://schemas.openxmlformats.org/officeDocument/2006/relationships/ctrlProp" Target="../ctrlProps/ctrlProp188.xml"/><Relationship Id="rId206" Type="http://schemas.openxmlformats.org/officeDocument/2006/relationships/ctrlProp" Target="../ctrlProps/ctrlProp202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6" Type="http://schemas.openxmlformats.org/officeDocument/2006/relationships/ctrlProp" Target="../ctrlProps/ctrlProp2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44" Type="http://schemas.openxmlformats.org/officeDocument/2006/relationships/ctrlProp" Target="../ctrlProps/ctrlProp40.xml"/><Relationship Id="rId65" Type="http://schemas.openxmlformats.org/officeDocument/2006/relationships/ctrlProp" Target="../ctrlProps/ctrlProp61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51" Type="http://schemas.openxmlformats.org/officeDocument/2006/relationships/ctrlProp" Target="../ctrlProps/ctrlProp147.xml"/><Relationship Id="rId172" Type="http://schemas.openxmlformats.org/officeDocument/2006/relationships/ctrlProp" Target="../ctrlProps/ctrlProp168.xml"/><Relationship Id="rId193" Type="http://schemas.openxmlformats.org/officeDocument/2006/relationships/ctrlProp" Target="../ctrlProps/ctrlProp189.xml"/><Relationship Id="rId207" Type="http://schemas.openxmlformats.org/officeDocument/2006/relationships/ctrlProp" Target="../ctrlProps/ctrlProp203.xml"/><Relationship Id="rId13" Type="http://schemas.openxmlformats.org/officeDocument/2006/relationships/ctrlProp" Target="../ctrlProps/ctrlProp9.xml"/><Relationship Id="rId109" Type="http://schemas.openxmlformats.org/officeDocument/2006/relationships/ctrlProp" Target="../ctrlProps/ctrlProp105.xml"/><Relationship Id="rId34" Type="http://schemas.openxmlformats.org/officeDocument/2006/relationships/ctrlProp" Target="../ctrlProps/ctrlProp30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20" Type="http://schemas.openxmlformats.org/officeDocument/2006/relationships/ctrlProp" Target="../ctrlProps/ctrlProp116.xml"/><Relationship Id="rId141" Type="http://schemas.openxmlformats.org/officeDocument/2006/relationships/ctrlProp" Target="../ctrlProps/ctrlProp137.xml"/><Relationship Id="rId7" Type="http://schemas.openxmlformats.org/officeDocument/2006/relationships/ctrlProp" Target="../ctrlProps/ctrlProp3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4" Type="http://schemas.openxmlformats.org/officeDocument/2006/relationships/ctrlProp" Target="../ctrlProps/ctrlProp20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31" Type="http://schemas.openxmlformats.org/officeDocument/2006/relationships/ctrlProp" Target="../ctrlProps/ctrlProp127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4" Type="http://schemas.openxmlformats.org/officeDocument/2006/relationships/ctrlProp" Target="../ctrlProps/ctrlProp190.xml"/><Relationship Id="rId208" Type="http://schemas.openxmlformats.org/officeDocument/2006/relationships/ctrlProp" Target="../ctrlProps/ctrlProp204.xml"/><Relationship Id="rId19" Type="http://schemas.openxmlformats.org/officeDocument/2006/relationships/ctrlProp" Target="../ctrlProps/ctrlProp15.xml"/><Relationship Id="rId14" Type="http://schemas.openxmlformats.org/officeDocument/2006/relationships/ctrlProp" Target="../ctrlProps/ctrlProp10.xml"/><Relationship Id="rId30" Type="http://schemas.openxmlformats.org/officeDocument/2006/relationships/ctrlProp" Target="../ctrlProps/ctrlProp26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8" Type="http://schemas.openxmlformats.org/officeDocument/2006/relationships/ctrlProp" Target="../ctrlProps/ctrlProp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189" Type="http://schemas.openxmlformats.org/officeDocument/2006/relationships/ctrlProp" Target="../ctrlProps/ctrlProp185.xml"/><Relationship Id="rId3" Type="http://schemas.openxmlformats.org/officeDocument/2006/relationships/drawing" Target="../drawings/drawing1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79" Type="http://schemas.openxmlformats.org/officeDocument/2006/relationships/ctrlProp" Target="../ctrlProps/ctrlProp175.xml"/><Relationship Id="rId195" Type="http://schemas.openxmlformats.org/officeDocument/2006/relationships/ctrlProp" Target="../ctrlProps/ctrlProp191.xml"/><Relationship Id="rId209" Type="http://schemas.openxmlformats.org/officeDocument/2006/relationships/ctrlProp" Target="../ctrlProps/ctrlProp205.xml"/><Relationship Id="rId190" Type="http://schemas.openxmlformats.org/officeDocument/2006/relationships/ctrlProp" Target="../ctrlProps/ctrlProp186.xml"/><Relationship Id="rId204" Type="http://schemas.openxmlformats.org/officeDocument/2006/relationships/ctrlProp" Target="../ctrlProps/ctrlProp200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78" Type="http://schemas.openxmlformats.org/officeDocument/2006/relationships/ctrlProp" Target="../ctrlProps/ctrlProp74.xml"/><Relationship Id="rId94" Type="http://schemas.openxmlformats.org/officeDocument/2006/relationships/ctrlProp" Target="../ctrlProps/ctrlProp90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48" Type="http://schemas.openxmlformats.org/officeDocument/2006/relationships/ctrlProp" Target="../ctrlProps/ctrlProp144.xml"/><Relationship Id="rId164" Type="http://schemas.openxmlformats.org/officeDocument/2006/relationships/ctrlProp" Target="../ctrlProps/ctrlProp160.xml"/><Relationship Id="rId169" Type="http://schemas.openxmlformats.org/officeDocument/2006/relationships/ctrlProp" Target="../ctrlProps/ctrlProp165.xml"/><Relationship Id="rId185" Type="http://schemas.openxmlformats.org/officeDocument/2006/relationships/ctrlProp" Target="../ctrlProps/ctrlProp181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80" Type="http://schemas.openxmlformats.org/officeDocument/2006/relationships/ctrlProp" Target="../ctrlProps/ctrlProp176.xml"/><Relationship Id="rId210" Type="http://schemas.openxmlformats.org/officeDocument/2006/relationships/ctrlProp" Target="../ctrlProps/ctrlProp206.xml"/><Relationship Id="rId26" Type="http://schemas.openxmlformats.org/officeDocument/2006/relationships/ctrlProp" Target="../ctrlProps/ctrlProp22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96" Type="http://schemas.openxmlformats.org/officeDocument/2006/relationships/ctrlProp" Target="../ctrlProps/ctrlProp192.xml"/><Relationship Id="rId200" Type="http://schemas.openxmlformats.org/officeDocument/2006/relationships/ctrlProp" Target="../ctrlProps/ctrlProp196.xml"/><Relationship Id="rId16" Type="http://schemas.openxmlformats.org/officeDocument/2006/relationships/ctrlProp" Target="../ctrlProps/ctrlProp12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186" Type="http://schemas.openxmlformats.org/officeDocument/2006/relationships/ctrlProp" Target="../ctrlProps/ctrlProp182.xml"/><Relationship Id="rId211" Type="http://schemas.openxmlformats.org/officeDocument/2006/relationships/ctrlProp" Target="../ctrlProps/ctrlProp207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97" Type="http://schemas.openxmlformats.org/officeDocument/2006/relationships/ctrlProp" Target="../ctrlProps/ctrlProp193.xml"/><Relationship Id="rId201" Type="http://schemas.openxmlformats.org/officeDocument/2006/relationships/ctrlProp" Target="../ctrlProps/ctrlProp197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87" Type="http://schemas.openxmlformats.org/officeDocument/2006/relationships/ctrlProp" Target="../ctrlProps/ctrlProp183.xml"/><Relationship Id="rId1" Type="http://schemas.openxmlformats.org/officeDocument/2006/relationships/hyperlink" Target="https://www.tnms.de/" TargetMode="External"/><Relationship Id="rId212" Type="http://schemas.openxmlformats.org/officeDocument/2006/relationships/ctrlProp" Target="../ctrlProps/ctrlProp208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60" Type="http://schemas.openxmlformats.org/officeDocument/2006/relationships/ctrlProp" Target="../ctrlProps/ctrlProp56.xml"/><Relationship Id="rId81" Type="http://schemas.openxmlformats.org/officeDocument/2006/relationships/ctrlProp" Target="../ctrlProps/ctrlProp77.xml"/><Relationship Id="rId135" Type="http://schemas.openxmlformats.org/officeDocument/2006/relationships/ctrlProp" Target="../ctrlProps/ctrlProp131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Relationship Id="rId198" Type="http://schemas.openxmlformats.org/officeDocument/2006/relationships/ctrlProp" Target="../ctrlProps/ctrlProp194.xml"/><Relationship Id="rId202" Type="http://schemas.openxmlformats.org/officeDocument/2006/relationships/ctrlProp" Target="../ctrlProps/ctrlProp198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50" Type="http://schemas.openxmlformats.org/officeDocument/2006/relationships/ctrlProp" Target="../ctrlProps/ctrlProp46.xml"/><Relationship Id="rId104" Type="http://schemas.openxmlformats.org/officeDocument/2006/relationships/ctrlProp" Target="../ctrlProps/ctrlProp100.xml"/><Relationship Id="rId125" Type="http://schemas.openxmlformats.org/officeDocument/2006/relationships/ctrlProp" Target="../ctrlProps/ctrlProp121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188" Type="http://schemas.openxmlformats.org/officeDocument/2006/relationships/ctrlProp" Target="../ctrlProps/ctrlProp184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213" Type="http://schemas.openxmlformats.org/officeDocument/2006/relationships/ctrlProp" Target="../ctrlProps/ctrlProp209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40" Type="http://schemas.openxmlformats.org/officeDocument/2006/relationships/ctrlProp" Target="../ctrlProps/ctrlProp36.xml"/><Relationship Id="rId115" Type="http://schemas.openxmlformats.org/officeDocument/2006/relationships/ctrlProp" Target="../ctrlProps/ctrlProp111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99" Type="http://schemas.openxmlformats.org/officeDocument/2006/relationships/ctrlProp" Target="../ctrlProps/ctrlProp195.xml"/><Relationship Id="rId203" Type="http://schemas.openxmlformats.org/officeDocument/2006/relationships/ctrlProp" Target="../ctrlProps/ctrlProp199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322.xml"/><Relationship Id="rId21" Type="http://schemas.openxmlformats.org/officeDocument/2006/relationships/ctrlProp" Target="../ctrlProps/ctrlProp226.xml"/><Relationship Id="rId42" Type="http://schemas.openxmlformats.org/officeDocument/2006/relationships/ctrlProp" Target="../ctrlProps/ctrlProp247.xml"/><Relationship Id="rId63" Type="http://schemas.openxmlformats.org/officeDocument/2006/relationships/ctrlProp" Target="../ctrlProps/ctrlProp268.xml"/><Relationship Id="rId84" Type="http://schemas.openxmlformats.org/officeDocument/2006/relationships/ctrlProp" Target="../ctrlProps/ctrlProp289.xml"/><Relationship Id="rId138" Type="http://schemas.openxmlformats.org/officeDocument/2006/relationships/ctrlProp" Target="../ctrlProps/ctrlProp343.xml"/><Relationship Id="rId159" Type="http://schemas.openxmlformats.org/officeDocument/2006/relationships/ctrlProp" Target="../ctrlProps/ctrlProp364.xml"/><Relationship Id="rId170" Type="http://schemas.openxmlformats.org/officeDocument/2006/relationships/ctrlProp" Target="../ctrlProps/ctrlProp375.xml"/><Relationship Id="rId191" Type="http://schemas.openxmlformats.org/officeDocument/2006/relationships/ctrlProp" Target="../ctrlProps/ctrlProp396.xml"/><Relationship Id="rId205" Type="http://schemas.openxmlformats.org/officeDocument/2006/relationships/ctrlProp" Target="../ctrlProps/ctrlProp410.xml"/><Relationship Id="rId107" Type="http://schemas.openxmlformats.org/officeDocument/2006/relationships/ctrlProp" Target="../ctrlProps/ctrlProp312.xml"/><Relationship Id="rId11" Type="http://schemas.openxmlformats.org/officeDocument/2006/relationships/ctrlProp" Target="../ctrlProps/ctrlProp216.xml"/><Relationship Id="rId32" Type="http://schemas.openxmlformats.org/officeDocument/2006/relationships/ctrlProp" Target="../ctrlProps/ctrlProp237.xml"/><Relationship Id="rId53" Type="http://schemas.openxmlformats.org/officeDocument/2006/relationships/ctrlProp" Target="../ctrlProps/ctrlProp258.xml"/><Relationship Id="rId74" Type="http://schemas.openxmlformats.org/officeDocument/2006/relationships/ctrlProp" Target="../ctrlProps/ctrlProp279.xml"/><Relationship Id="rId128" Type="http://schemas.openxmlformats.org/officeDocument/2006/relationships/ctrlProp" Target="../ctrlProps/ctrlProp333.xml"/><Relationship Id="rId149" Type="http://schemas.openxmlformats.org/officeDocument/2006/relationships/ctrlProp" Target="../ctrlProps/ctrlProp354.xml"/><Relationship Id="rId5" Type="http://schemas.openxmlformats.org/officeDocument/2006/relationships/ctrlProp" Target="../ctrlProps/ctrlProp210.xml"/><Relationship Id="rId95" Type="http://schemas.openxmlformats.org/officeDocument/2006/relationships/ctrlProp" Target="../ctrlProps/ctrlProp300.xml"/><Relationship Id="rId160" Type="http://schemas.openxmlformats.org/officeDocument/2006/relationships/ctrlProp" Target="../ctrlProps/ctrlProp365.xml"/><Relationship Id="rId181" Type="http://schemas.openxmlformats.org/officeDocument/2006/relationships/ctrlProp" Target="../ctrlProps/ctrlProp386.xml"/><Relationship Id="rId22" Type="http://schemas.openxmlformats.org/officeDocument/2006/relationships/ctrlProp" Target="../ctrlProps/ctrlProp227.xml"/><Relationship Id="rId43" Type="http://schemas.openxmlformats.org/officeDocument/2006/relationships/ctrlProp" Target="../ctrlProps/ctrlProp248.xml"/><Relationship Id="rId64" Type="http://schemas.openxmlformats.org/officeDocument/2006/relationships/ctrlProp" Target="../ctrlProps/ctrlProp269.xml"/><Relationship Id="rId118" Type="http://schemas.openxmlformats.org/officeDocument/2006/relationships/ctrlProp" Target="../ctrlProps/ctrlProp323.xml"/><Relationship Id="rId139" Type="http://schemas.openxmlformats.org/officeDocument/2006/relationships/ctrlProp" Target="../ctrlProps/ctrlProp344.xml"/><Relationship Id="rId85" Type="http://schemas.openxmlformats.org/officeDocument/2006/relationships/ctrlProp" Target="../ctrlProps/ctrlProp290.xml"/><Relationship Id="rId150" Type="http://schemas.openxmlformats.org/officeDocument/2006/relationships/ctrlProp" Target="../ctrlProps/ctrlProp355.xml"/><Relationship Id="rId171" Type="http://schemas.openxmlformats.org/officeDocument/2006/relationships/ctrlProp" Target="../ctrlProps/ctrlProp376.xml"/><Relationship Id="rId192" Type="http://schemas.openxmlformats.org/officeDocument/2006/relationships/ctrlProp" Target="../ctrlProps/ctrlProp397.xml"/><Relationship Id="rId206" Type="http://schemas.openxmlformats.org/officeDocument/2006/relationships/ctrlProp" Target="../ctrlProps/ctrlProp411.xml"/><Relationship Id="rId12" Type="http://schemas.openxmlformats.org/officeDocument/2006/relationships/ctrlProp" Target="../ctrlProps/ctrlProp217.xml"/><Relationship Id="rId33" Type="http://schemas.openxmlformats.org/officeDocument/2006/relationships/ctrlProp" Target="../ctrlProps/ctrlProp238.xml"/><Relationship Id="rId108" Type="http://schemas.openxmlformats.org/officeDocument/2006/relationships/ctrlProp" Target="../ctrlProps/ctrlProp313.xml"/><Relationship Id="rId129" Type="http://schemas.openxmlformats.org/officeDocument/2006/relationships/ctrlProp" Target="../ctrlProps/ctrlProp334.xml"/><Relationship Id="rId54" Type="http://schemas.openxmlformats.org/officeDocument/2006/relationships/ctrlProp" Target="../ctrlProps/ctrlProp259.xml"/><Relationship Id="rId75" Type="http://schemas.openxmlformats.org/officeDocument/2006/relationships/ctrlProp" Target="../ctrlProps/ctrlProp280.xml"/><Relationship Id="rId96" Type="http://schemas.openxmlformats.org/officeDocument/2006/relationships/ctrlProp" Target="../ctrlProps/ctrlProp301.xml"/><Relationship Id="rId140" Type="http://schemas.openxmlformats.org/officeDocument/2006/relationships/ctrlProp" Target="../ctrlProps/ctrlProp345.xml"/><Relationship Id="rId161" Type="http://schemas.openxmlformats.org/officeDocument/2006/relationships/ctrlProp" Target="../ctrlProps/ctrlProp366.xml"/><Relationship Id="rId182" Type="http://schemas.openxmlformats.org/officeDocument/2006/relationships/ctrlProp" Target="../ctrlProps/ctrlProp387.xml"/><Relationship Id="rId6" Type="http://schemas.openxmlformats.org/officeDocument/2006/relationships/ctrlProp" Target="../ctrlProps/ctrlProp211.xml"/><Relationship Id="rId23" Type="http://schemas.openxmlformats.org/officeDocument/2006/relationships/ctrlProp" Target="../ctrlProps/ctrlProp228.xml"/><Relationship Id="rId119" Type="http://schemas.openxmlformats.org/officeDocument/2006/relationships/ctrlProp" Target="../ctrlProps/ctrlProp324.xml"/><Relationship Id="rId44" Type="http://schemas.openxmlformats.org/officeDocument/2006/relationships/ctrlProp" Target="../ctrlProps/ctrlProp249.xml"/><Relationship Id="rId65" Type="http://schemas.openxmlformats.org/officeDocument/2006/relationships/ctrlProp" Target="../ctrlProps/ctrlProp270.xml"/><Relationship Id="rId86" Type="http://schemas.openxmlformats.org/officeDocument/2006/relationships/ctrlProp" Target="../ctrlProps/ctrlProp291.xml"/><Relationship Id="rId130" Type="http://schemas.openxmlformats.org/officeDocument/2006/relationships/ctrlProp" Target="../ctrlProps/ctrlProp335.xml"/><Relationship Id="rId151" Type="http://schemas.openxmlformats.org/officeDocument/2006/relationships/ctrlProp" Target="../ctrlProps/ctrlProp356.xml"/><Relationship Id="rId172" Type="http://schemas.openxmlformats.org/officeDocument/2006/relationships/ctrlProp" Target="../ctrlProps/ctrlProp377.xml"/><Relationship Id="rId193" Type="http://schemas.openxmlformats.org/officeDocument/2006/relationships/ctrlProp" Target="../ctrlProps/ctrlProp398.xml"/><Relationship Id="rId207" Type="http://schemas.openxmlformats.org/officeDocument/2006/relationships/ctrlProp" Target="../ctrlProps/ctrlProp412.xml"/><Relationship Id="rId13" Type="http://schemas.openxmlformats.org/officeDocument/2006/relationships/ctrlProp" Target="../ctrlProps/ctrlProp218.xml"/><Relationship Id="rId109" Type="http://schemas.openxmlformats.org/officeDocument/2006/relationships/ctrlProp" Target="../ctrlProps/ctrlProp314.xml"/><Relationship Id="rId34" Type="http://schemas.openxmlformats.org/officeDocument/2006/relationships/ctrlProp" Target="../ctrlProps/ctrlProp239.xml"/><Relationship Id="rId55" Type="http://schemas.openxmlformats.org/officeDocument/2006/relationships/ctrlProp" Target="../ctrlProps/ctrlProp260.xml"/><Relationship Id="rId76" Type="http://schemas.openxmlformats.org/officeDocument/2006/relationships/ctrlProp" Target="../ctrlProps/ctrlProp281.xml"/><Relationship Id="rId97" Type="http://schemas.openxmlformats.org/officeDocument/2006/relationships/ctrlProp" Target="../ctrlProps/ctrlProp302.xml"/><Relationship Id="rId120" Type="http://schemas.openxmlformats.org/officeDocument/2006/relationships/ctrlProp" Target="../ctrlProps/ctrlProp325.xml"/><Relationship Id="rId141" Type="http://schemas.openxmlformats.org/officeDocument/2006/relationships/ctrlProp" Target="../ctrlProps/ctrlProp346.xml"/><Relationship Id="rId7" Type="http://schemas.openxmlformats.org/officeDocument/2006/relationships/ctrlProp" Target="../ctrlProps/ctrlProp212.xml"/><Relationship Id="rId162" Type="http://schemas.openxmlformats.org/officeDocument/2006/relationships/ctrlProp" Target="../ctrlProps/ctrlProp367.xml"/><Relationship Id="rId183" Type="http://schemas.openxmlformats.org/officeDocument/2006/relationships/ctrlProp" Target="../ctrlProps/ctrlProp388.xml"/><Relationship Id="rId24" Type="http://schemas.openxmlformats.org/officeDocument/2006/relationships/ctrlProp" Target="../ctrlProps/ctrlProp229.xml"/><Relationship Id="rId45" Type="http://schemas.openxmlformats.org/officeDocument/2006/relationships/ctrlProp" Target="../ctrlProps/ctrlProp250.xml"/><Relationship Id="rId66" Type="http://schemas.openxmlformats.org/officeDocument/2006/relationships/ctrlProp" Target="../ctrlProps/ctrlProp271.xml"/><Relationship Id="rId87" Type="http://schemas.openxmlformats.org/officeDocument/2006/relationships/ctrlProp" Target="../ctrlProps/ctrlProp292.xml"/><Relationship Id="rId110" Type="http://schemas.openxmlformats.org/officeDocument/2006/relationships/ctrlProp" Target="../ctrlProps/ctrlProp315.xml"/><Relationship Id="rId131" Type="http://schemas.openxmlformats.org/officeDocument/2006/relationships/ctrlProp" Target="../ctrlProps/ctrlProp336.xml"/><Relationship Id="rId152" Type="http://schemas.openxmlformats.org/officeDocument/2006/relationships/ctrlProp" Target="../ctrlProps/ctrlProp357.xml"/><Relationship Id="rId173" Type="http://schemas.openxmlformats.org/officeDocument/2006/relationships/ctrlProp" Target="../ctrlProps/ctrlProp378.xml"/><Relationship Id="rId194" Type="http://schemas.openxmlformats.org/officeDocument/2006/relationships/ctrlProp" Target="../ctrlProps/ctrlProp399.xml"/><Relationship Id="rId208" Type="http://schemas.openxmlformats.org/officeDocument/2006/relationships/ctrlProp" Target="../ctrlProps/ctrlProp413.xml"/><Relationship Id="rId19" Type="http://schemas.openxmlformats.org/officeDocument/2006/relationships/ctrlProp" Target="../ctrlProps/ctrlProp224.xml"/><Relationship Id="rId14" Type="http://schemas.openxmlformats.org/officeDocument/2006/relationships/ctrlProp" Target="../ctrlProps/ctrlProp219.xml"/><Relationship Id="rId30" Type="http://schemas.openxmlformats.org/officeDocument/2006/relationships/ctrlProp" Target="../ctrlProps/ctrlProp235.xml"/><Relationship Id="rId35" Type="http://schemas.openxmlformats.org/officeDocument/2006/relationships/ctrlProp" Target="../ctrlProps/ctrlProp240.xml"/><Relationship Id="rId56" Type="http://schemas.openxmlformats.org/officeDocument/2006/relationships/ctrlProp" Target="../ctrlProps/ctrlProp261.xml"/><Relationship Id="rId77" Type="http://schemas.openxmlformats.org/officeDocument/2006/relationships/ctrlProp" Target="../ctrlProps/ctrlProp282.xml"/><Relationship Id="rId100" Type="http://schemas.openxmlformats.org/officeDocument/2006/relationships/ctrlProp" Target="../ctrlProps/ctrlProp305.xml"/><Relationship Id="rId105" Type="http://schemas.openxmlformats.org/officeDocument/2006/relationships/ctrlProp" Target="../ctrlProps/ctrlProp310.xml"/><Relationship Id="rId126" Type="http://schemas.openxmlformats.org/officeDocument/2006/relationships/ctrlProp" Target="../ctrlProps/ctrlProp331.xml"/><Relationship Id="rId147" Type="http://schemas.openxmlformats.org/officeDocument/2006/relationships/ctrlProp" Target="../ctrlProps/ctrlProp352.xml"/><Relationship Id="rId168" Type="http://schemas.openxmlformats.org/officeDocument/2006/relationships/ctrlProp" Target="../ctrlProps/ctrlProp373.xml"/><Relationship Id="rId8" Type="http://schemas.openxmlformats.org/officeDocument/2006/relationships/ctrlProp" Target="../ctrlProps/ctrlProp213.xml"/><Relationship Id="rId51" Type="http://schemas.openxmlformats.org/officeDocument/2006/relationships/ctrlProp" Target="../ctrlProps/ctrlProp256.xml"/><Relationship Id="rId72" Type="http://schemas.openxmlformats.org/officeDocument/2006/relationships/ctrlProp" Target="../ctrlProps/ctrlProp277.xml"/><Relationship Id="rId93" Type="http://schemas.openxmlformats.org/officeDocument/2006/relationships/ctrlProp" Target="../ctrlProps/ctrlProp298.xml"/><Relationship Id="rId98" Type="http://schemas.openxmlformats.org/officeDocument/2006/relationships/ctrlProp" Target="../ctrlProps/ctrlProp303.xml"/><Relationship Id="rId121" Type="http://schemas.openxmlformats.org/officeDocument/2006/relationships/ctrlProp" Target="../ctrlProps/ctrlProp326.xml"/><Relationship Id="rId142" Type="http://schemas.openxmlformats.org/officeDocument/2006/relationships/ctrlProp" Target="../ctrlProps/ctrlProp347.xml"/><Relationship Id="rId163" Type="http://schemas.openxmlformats.org/officeDocument/2006/relationships/ctrlProp" Target="../ctrlProps/ctrlProp368.xml"/><Relationship Id="rId184" Type="http://schemas.openxmlformats.org/officeDocument/2006/relationships/ctrlProp" Target="../ctrlProps/ctrlProp389.xml"/><Relationship Id="rId189" Type="http://schemas.openxmlformats.org/officeDocument/2006/relationships/ctrlProp" Target="../ctrlProps/ctrlProp394.xml"/><Relationship Id="rId3" Type="http://schemas.openxmlformats.org/officeDocument/2006/relationships/drawing" Target="../drawings/drawing2.xml"/><Relationship Id="rId25" Type="http://schemas.openxmlformats.org/officeDocument/2006/relationships/ctrlProp" Target="../ctrlProps/ctrlProp230.xml"/><Relationship Id="rId46" Type="http://schemas.openxmlformats.org/officeDocument/2006/relationships/ctrlProp" Target="../ctrlProps/ctrlProp251.xml"/><Relationship Id="rId67" Type="http://schemas.openxmlformats.org/officeDocument/2006/relationships/ctrlProp" Target="../ctrlProps/ctrlProp272.xml"/><Relationship Id="rId116" Type="http://schemas.openxmlformats.org/officeDocument/2006/relationships/ctrlProp" Target="../ctrlProps/ctrlProp321.xml"/><Relationship Id="rId137" Type="http://schemas.openxmlformats.org/officeDocument/2006/relationships/ctrlProp" Target="../ctrlProps/ctrlProp342.xml"/><Relationship Id="rId158" Type="http://schemas.openxmlformats.org/officeDocument/2006/relationships/ctrlProp" Target="../ctrlProps/ctrlProp363.xml"/><Relationship Id="rId20" Type="http://schemas.openxmlformats.org/officeDocument/2006/relationships/ctrlProp" Target="../ctrlProps/ctrlProp225.xml"/><Relationship Id="rId41" Type="http://schemas.openxmlformats.org/officeDocument/2006/relationships/ctrlProp" Target="../ctrlProps/ctrlProp246.xml"/><Relationship Id="rId62" Type="http://schemas.openxmlformats.org/officeDocument/2006/relationships/ctrlProp" Target="../ctrlProps/ctrlProp267.xml"/><Relationship Id="rId83" Type="http://schemas.openxmlformats.org/officeDocument/2006/relationships/ctrlProp" Target="../ctrlProps/ctrlProp288.xml"/><Relationship Id="rId88" Type="http://schemas.openxmlformats.org/officeDocument/2006/relationships/ctrlProp" Target="../ctrlProps/ctrlProp293.xml"/><Relationship Id="rId111" Type="http://schemas.openxmlformats.org/officeDocument/2006/relationships/ctrlProp" Target="../ctrlProps/ctrlProp316.xml"/><Relationship Id="rId132" Type="http://schemas.openxmlformats.org/officeDocument/2006/relationships/ctrlProp" Target="../ctrlProps/ctrlProp337.xml"/><Relationship Id="rId153" Type="http://schemas.openxmlformats.org/officeDocument/2006/relationships/ctrlProp" Target="../ctrlProps/ctrlProp358.xml"/><Relationship Id="rId174" Type="http://schemas.openxmlformats.org/officeDocument/2006/relationships/ctrlProp" Target="../ctrlProps/ctrlProp379.xml"/><Relationship Id="rId179" Type="http://schemas.openxmlformats.org/officeDocument/2006/relationships/ctrlProp" Target="../ctrlProps/ctrlProp384.xml"/><Relationship Id="rId195" Type="http://schemas.openxmlformats.org/officeDocument/2006/relationships/ctrlProp" Target="../ctrlProps/ctrlProp400.xml"/><Relationship Id="rId209" Type="http://schemas.openxmlformats.org/officeDocument/2006/relationships/ctrlProp" Target="../ctrlProps/ctrlProp414.xml"/><Relationship Id="rId190" Type="http://schemas.openxmlformats.org/officeDocument/2006/relationships/ctrlProp" Target="../ctrlProps/ctrlProp395.xml"/><Relationship Id="rId204" Type="http://schemas.openxmlformats.org/officeDocument/2006/relationships/ctrlProp" Target="../ctrlProps/ctrlProp409.xml"/><Relationship Id="rId15" Type="http://schemas.openxmlformats.org/officeDocument/2006/relationships/ctrlProp" Target="../ctrlProps/ctrlProp220.xml"/><Relationship Id="rId36" Type="http://schemas.openxmlformats.org/officeDocument/2006/relationships/ctrlProp" Target="../ctrlProps/ctrlProp241.xml"/><Relationship Id="rId57" Type="http://schemas.openxmlformats.org/officeDocument/2006/relationships/ctrlProp" Target="../ctrlProps/ctrlProp262.xml"/><Relationship Id="rId106" Type="http://schemas.openxmlformats.org/officeDocument/2006/relationships/ctrlProp" Target="../ctrlProps/ctrlProp311.xml"/><Relationship Id="rId127" Type="http://schemas.openxmlformats.org/officeDocument/2006/relationships/ctrlProp" Target="../ctrlProps/ctrlProp332.xml"/><Relationship Id="rId10" Type="http://schemas.openxmlformats.org/officeDocument/2006/relationships/ctrlProp" Target="../ctrlProps/ctrlProp215.xml"/><Relationship Id="rId31" Type="http://schemas.openxmlformats.org/officeDocument/2006/relationships/ctrlProp" Target="../ctrlProps/ctrlProp236.xml"/><Relationship Id="rId52" Type="http://schemas.openxmlformats.org/officeDocument/2006/relationships/ctrlProp" Target="../ctrlProps/ctrlProp257.xml"/><Relationship Id="rId73" Type="http://schemas.openxmlformats.org/officeDocument/2006/relationships/ctrlProp" Target="../ctrlProps/ctrlProp278.xml"/><Relationship Id="rId78" Type="http://schemas.openxmlformats.org/officeDocument/2006/relationships/ctrlProp" Target="../ctrlProps/ctrlProp283.xml"/><Relationship Id="rId94" Type="http://schemas.openxmlformats.org/officeDocument/2006/relationships/ctrlProp" Target="../ctrlProps/ctrlProp299.xml"/><Relationship Id="rId99" Type="http://schemas.openxmlformats.org/officeDocument/2006/relationships/ctrlProp" Target="../ctrlProps/ctrlProp304.xml"/><Relationship Id="rId101" Type="http://schemas.openxmlformats.org/officeDocument/2006/relationships/ctrlProp" Target="../ctrlProps/ctrlProp306.xml"/><Relationship Id="rId122" Type="http://schemas.openxmlformats.org/officeDocument/2006/relationships/ctrlProp" Target="../ctrlProps/ctrlProp327.xml"/><Relationship Id="rId143" Type="http://schemas.openxmlformats.org/officeDocument/2006/relationships/ctrlProp" Target="../ctrlProps/ctrlProp348.xml"/><Relationship Id="rId148" Type="http://schemas.openxmlformats.org/officeDocument/2006/relationships/ctrlProp" Target="../ctrlProps/ctrlProp353.xml"/><Relationship Id="rId164" Type="http://schemas.openxmlformats.org/officeDocument/2006/relationships/ctrlProp" Target="../ctrlProps/ctrlProp369.xml"/><Relationship Id="rId169" Type="http://schemas.openxmlformats.org/officeDocument/2006/relationships/ctrlProp" Target="../ctrlProps/ctrlProp374.xml"/><Relationship Id="rId185" Type="http://schemas.openxmlformats.org/officeDocument/2006/relationships/ctrlProp" Target="../ctrlProps/ctrlProp390.xml"/><Relationship Id="rId4" Type="http://schemas.openxmlformats.org/officeDocument/2006/relationships/vmlDrawing" Target="../drawings/vmlDrawing2.vml"/><Relationship Id="rId9" Type="http://schemas.openxmlformats.org/officeDocument/2006/relationships/ctrlProp" Target="../ctrlProps/ctrlProp214.xml"/><Relationship Id="rId180" Type="http://schemas.openxmlformats.org/officeDocument/2006/relationships/ctrlProp" Target="../ctrlProps/ctrlProp385.xml"/><Relationship Id="rId210" Type="http://schemas.openxmlformats.org/officeDocument/2006/relationships/ctrlProp" Target="../ctrlProps/ctrlProp415.xml"/><Relationship Id="rId26" Type="http://schemas.openxmlformats.org/officeDocument/2006/relationships/ctrlProp" Target="../ctrlProps/ctrlProp231.xml"/><Relationship Id="rId47" Type="http://schemas.openxmlformats.org/officeDocument/2006/relationships/ctrlProp" Target="../ctrlProps/ctrlProp252.xml"/><Relationship Id="rId68" Type="http://schemas.openxmlformats.org/officeDocument/2006/relationships/ctrlProp" Target="../ctrlProps/ctrlProp273.xml"/><Relationship Id="rId89" Type="http://schemas.openxmlformats.org/officeDocument/2006/relationships/ctrlProp" Target="../ctrlProps/ctrlProp294.xml"/><Relationship Id="rId112" Type="http://schemas.openxmlformats.org/officeDocument/2006/relationships/ctrlProp" Target="../ctrlProps/ctrlProp317.xml"/><Relationship Id="rId133" Type="http://schemas.openxmlformats.org/officeDocument/2006/relationships/ctrlProp" Target="../ctrlProps/ctrlProp338.xml"/><Relationship Id="rId154" Type="http://schemas.openxmlformats.org/officeDocument/2006/relationships/ctrlProp" Target="../ctrlProps/ctrlProp359.xml"/><Relationship Id="rId175" Type="http://schemas.openxmlformats.org/officeDocument/2006/relationships/ctrlProp" Target="../ctrlProps/ctrlProp380.xml"/><Relationship Id="rId196" Type="http://schemas.openxmlformats.org/officeDocument/2006/relationships/ctrlProp" Target="../ctrlProps/ctrlProp401.xml"/><Relationship Id="rId200" Type="http://schemas.openxmlformats.org/officeDocument/2006/relationships/ctrlProp" Target="../ctrlProps/ctrlProp405.xml"/><Relationship Id="rId16" Type="http://schemas.openxmlformats.org/officeDocument/2006/relationships/ctrlProp" Target="../ctrlProps/ctrlProp221.xml"/><Relationship Id="rId37" Type="http://schemas.openxmlformats.org/officeDocument/2006/relationships/ctrlProp" Target="../ctrlProps/ctrlProp242.xml"/><Relationship Id="rId58" Type="http://schemas.openxmlformats.org/officeDocument/2006/relationships/ctrlProp" Target="../ctrlProps/ctrlProp263.xml"/><Relationship Id="rId79" Type="http://schemas.openxmlformats.org/officeDocument/2006/relationships/ctrlProp" Target="../ctrlProps/ctrlProp284.xml"/><Relationship Id="rId102" Type="http://schemas.openxmlformats.org/officeDocument/2006/relationships/ctrlProp" Target="../ctrlProps/ctrlProp307.xml"/><Relationship Id="rId123" Type="http://schemas.openxmlformats.org/officeDocument/2006/relationships/ctrlProp" Target="../ctrlProps/ctrlProp328.xml"/><Relationship Id="rId144" Type="http://schemas.openxmlformats.org/officeDocument/2006/relationships/ctrlProp" Target="../ctrlProps/ctrlProp349.xml"/><Relationship Id="rId90" Type="http://schemas.openxmlformats.org/officeDocument/2006/relationships/ctrlProp" Target="../ctrlProps/ctrlProp295.xml"/><Relationship Id="rId165" Type="http://schemas.openxmlformats.org/officeDocument/2006/relationships/ctrlProp" Target="../ctrlProps/ctrlProp370.xml"/><Relationship Id="rId186" Type="http://schemas.openxmlformats.org/officeDocument/2006/relationships/ctrlProp" Target="../ctrlProps/ctrlProp391.xml"/><Relationship Id="rId211" Type="http://schemas.openxmlformats.org/officeDocument/2006/relationships/ctrlProp" Target="../ctrlProps/ctrlProp416.xml"/><Relationship Id="rId27" Type="http://schemas.openxmlformats.org/officeDocument/2006/relationships/ctrlProp" Target="../ctrlProps/ctrlProp232.xml"/><Relationship Id="rId48" Type="http://schemas.openxmlformats.org/officeDocument/2006/relationships/ctrlProp" Target="../ctrlProps/ctrlProp253.xml"/><Relationship Id="rId69" Type="http://schemas.openxmlformats.org/officeDocument/2006/relationships/ctrlProp" Target="../ctrlProps/ctrlProp274.xml"/><Relationship Id="rId113" Type="http://schemas.openxmlformats.org/officeDocument/2006/relationships/ctrlProp" Target="../ctrlProps/ctrlProp318.xml"/><Relationship Id="rId134" Type="http://schemas.openxmlformats.org/officeDocument/2006/relationships/ctrlProp" Target="../ctrlProps/ctrlProp339.xml"/><Relationship Id="rId80" Type="http://schemas.openxmlformats.org/officeDocument/2006/relationships/ctrlProp" Target="../ctrlProps/ctrlProp285.xml"/><Relationship Id="rId155" Type="http://schemas.openxmlformats.org/officeDocument/2006/relationships/ctrlProp" Target="../ctrlProps/ctrlProp360.xml"/><Relationship Id="rId176" Type="http://schemas.openxmlformats.org/officeDocument/2006/relationships/ctrlProp" Target="../ctrlProps/ctrlProp381.xml"/><Relationship Id="rId197" Type="http://schemas.openxmlformats.org/officeDocument/2006/relationships/ctrlProp" Target="../ctrlProps/ctrlProp402.xml"/><Relationship Id="rId201" Type="http://schemas.openxmlformats.org/officeDocument/2006/relationships/ctrlProp" Target="../ctrlProps/ctrlProp406.xml"/><Relationship Id="rId17" Type="http://schemas.openxmlformats.org/officeDocument/2006/relationships/ctrlProp" Target="../ctrlProps/ctrlProp222.xml"/><Relationship Id="rId38" Type="http://schemas.openxmlformats.org/officeDocument/2006/relationships/ctrlProp" Target="../ctrlProps/ctrlProp243.xml"/><Relationship Id="rId59" Type="http://schemas.openxmlformats.org/officeDocument/2006/relationships/ctrlProp" Target="../ctrlProps/ctrlProp264.xml"/><Relationship Id="rId103" Type="http://schemas.openxmlformats.org/officeDocument/2006/relationships/ctrlProp" Target="../ctrlProps/ctrlProp308.xml"/><Relationship Id="rId124" Type="http://schemas.openxmlformats.org/officeDocument/2006/relationships/ctrlProp" Target="../ctrlProps/ctrlProp329.xml"/><Relationship Id="rId70" Type="http://schemas.openxmlformats.org/officeDocument/2006/relationships/ctrlProp" Target="../ctrlProps/ctrlProp275.xml"/><Relationship Id="rId91" Type="http://schemas.openxmlformats.org/officeDocument/2006/relationships/ctrlProp" Target="../ctrlProps/ctrlProp296.xml"/><Relationship Id="rId145" Type="http://schemas.openxmlformats.org/officeDocument/2006/relationships/ctrlProp" Target="../ctrlProps/ctrlProp350.xml"/><Relationship Id="rId166" Type="http://schemas.openxmlformats.org/officeDocument/2006/relationships/ctrlProp" Target="../ctrlProps/ctrlProp371.xml"/><Relationship Id="rId187" Type="http://schemas.openxmlformats.org/officeDocument/2006/relationships/ctrlProp" Target="../ctrlProps/ctrlProp392.xml"/><Relationship Id="rId1" Type="http://schemas.openxmlformats.org/officeDocument/2006/relationships/hyperlink" Target="https://www.tnms.de/" TargetMode="External"/><Relationship Id="rId212" Type="http://schemas.openxmlformats.org/officeDocument/2006/relationships/ctrlProp" Target="../ctrlProps/ctrlProp417.xml"/><Relationship Id="rId28" Type="http://schemas.openxmlformats.org/officeDocument/2006/relationships/ctrlProp" Target="../ctrlProps/ctrlProp233.xml"/><Relationship Id="rId49" Type="http://schemas.openxmlformats.org/officeDocument/2006/relationships/ctrlProp" Target="../ctrlProps/ctrlProp254.xml"/><Relationship Id="rId114" Type="http://schemas.openxmlformats.org/officeDocument/2006/relationships/ctrlProp" Target="../ctrlProps/ctrlProp319.xml"/><Relationship Id="rId60" Type="http://schemas.openxmlformats.org/officeDocument/2006/relationships/ctrlProp" Target="../ctrlProps/ctrlProp265.xml"/><Relationship Id="rId81" Type="http://schemas.openxmlformats.org/officeDocument/2006/relationships/ctrlProp" Target="../ctrlProps/ctrlProp286.xml"/><Relationship Id="rId135" Type="http://schemas.openxmlformats.org/officeDocument/2006/relationships/ctrlProp" Target="../ctrlProps/ctrlProp340.xml"/><Relationship Id="rId156" Type="http://schemas.openxmlformats.org/officeDocument/2006/relationships/ctrlProp" Target="../ctrlProps/ctrlProp361.xml"/><Relationship Id="rId177" Type="http://schemas.openxmlformats.org/officeDocument/2006/relationships/ctrlProp" Target="../ctrlProps/ctrlProp382.xml"/><Relationship Id="rId198" Type="http://schemas.openxmlformats.org/officeDocument/2006/relationships/ctrlProp" Target="../ctrlProps/ctrlProp403.xml"/><Relationship Id="rId202" Type="http://schemas.openxmlformats.org/officeDocument/2006/relationships/ctrlProp" Target="../ctrlProps/ctrlProp407.xml"/><Relationship Id="rId18" Type="http://schemas.openxmlformats.org/officeDocument/2006/relationships/ctrlProp" Target="../ctrlProps/ctrlProp223.xml"/><Relationship Id="rId39" Type="http://schemas.openxmlformats.org/officeDocument/2006/relationships/ctrlProp" Target="../ctrlProps/ctrlProp244.xml"/><Relationship Id="rId50" Type="http://schemas.openxmlformats.org/officeDocument/2006/relationships/ctrlProp" Target="../ctrlProps/ctrlProp255.xml"/><Relationship Id="rId104" Type="http://schemas.openxmlformats.org/officeDocument/2006/relationships/ctrlProp" Target="../ctrlProps/ctrlProp309.xml"/><Relationship Id="rId125" Type="http://schemas.openxmlformats.org/officeDocument/2006/relationships/ctrlProp" Target="../ctrlProps/ctrlProp330.xml"/><Relationship Id="rId146" Type="http://schemas.openxmlformats.org/officeDocument/2006/relationships/ctrlProp" Target="../ctrlProps/ctrlProp351.xml"/><Relationship Id="rId167" Type="http://schemas.openxmlformats.org/officeDocument/2006/relationships/ctrlProp" Target="../ctrlProps/ctrlProp372.xml"/><Relationship Id="rId188" Type="http://schemas.openxmlformats.org/officeDocument/2006/relationships/ctrlProp" Target="../ctrlProps/ctrlProp393.xml"/><Relationship Id="rId71" Type="http://schemas.openxmlformats.org/officeDocument/2006/relationships/ctrlProp" Target="../ctrlProps/ctrlProp276.xml"/><Relationship Id="rId92" Type="http://schemas.openxmlformats.org/officeDocument/2006/relationships/ctrlProp" Target="../ctrlProps/ctrlProp297.xml"/><Relationship Id="rId213" Type="http://schemas.openxmlformats.org/officeDocument/2006/relationships/ctrlProp" Target="../ctrlProps/ctrlProp418.xml"/><Relationship Id="rId2" Type="http://schemas.openxmlformats.org/officeDocument/2006/relationships/printerSettings" Target="../printerSettings/printerSettings2.bin"/><Relationship Id="rId29" Type="http://schemas.openxmlformats.org/officeDocument/2006/relationships/ctrlProp" Target="../ctrlProps/ctrlProp234.xml"/><Relationship Id="rId40" Type="http://schemas.openxmlformats.org/officeDocument/2006/relationships/ctrlProp" Target="../ctrlProps/ctrlProp245.xml"/><Relationship Id="rId115" Type="http://schemas.openxmlformats.org/officeDocument/2006/relationships/ctrlProp" Target="../ctrlProps/ctrlProp320.xml"/><Relationship Id="rId136" Type="http://schemas.openxmlformats.org/officeDocument/2006/relationships/ctrlProp" Target="../ctrlProps/ctrlProp341.xml"/><Relationship Id="rId157" Type="http://schemas.openxmlformats.org/officeDocument/2006/relationships/ctrlProp" Target="../ctrlProps/ctrlProp362.xml"/><Relationship Id="rId178" Type="http://schemas.openxmlformats.org/officeDocument/2006/relationships/ctrlProp" Target="../ctrlProps/ctrlProp383.xml"/><Relationship Id="rId61" Type="http://schemas.openxmlformats.org/officeDocument/2006/relationships/ctrlProp" Target="../ctrlProps/ctrlProp266.xml"/><Relationship Id="rId82" Type="http://schemas.openxmlformats.org/officeDocument/2006/relationships/ctrlProp" Target="../ctrlProps/ctrlProp287.xml"/><Relationship Id="rId199" Type="http://schemas.openxmlformats.org/officeDocument/2006/relationships/ctrlProp" Target="../ctrlProps/ctrlProp404.xml"/><Relationship Id="rId203" Type="http://schemas.openxmlformats.org/officeDocument/2006/relationships/ctrlProp" Target="../ctrlProps/ctrlProp40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04E56-642D-48B7-9F34-8191999432BA}">
  <sheetPr codeName="Tabelle2"/>
  <dimension ref="A1:E2228"/>
  <sheetViews>
    <sheetView tabSelected="1" topLeftCell="B1" zoomScale="130" zoomScaleNormal="130" workbookViewId="0">
      <selection activeCell="C9" sqref="C9"/>
    </sheetView>
  </sheetViews>
  <sheetFormatPr baseColWidth="10" defaultRowHeight="15" x14ac:dyDescent="0.25"/>
  <cols>
    <col min="1" max="1" width="11.42578125" style="4" hidden="1" customWidth="1"/>
    <col min="2" max="2" width="32.28515625" customWidth="1"/>
    <col min="3" max="3" width="34.140625" customWidth="1"/>
    <col min="4" max="4" width="5.28515625" bestFit="1" customWidth="1"/>
    <col min="5" max="5" width="13.5703125" customWidth="1"/>
    <col min="6" max="6" width="27.28515625" bestFit="1" customWidth="1"/>
  </cols>
  <sheetData>
    <row r="1" spans="1:5" x14ac:dyDescent="0.25">
      <c r="B1" t="s">
        <v>43</v>
      </c>
      <c r="C1" s="3" t="s">
        <v>35</v>
      </c>
    </row>
    <row r="2" spans="1:5" ht="30.75" thickBot="1" x14ac:dyDescent="0.45">
      <c r="B2" s="26" t="s">
        <v>242</v>
      </c>
      <c r="C2" s="17" t="s">
        <v>254</v>
      </c>
    </row>
    <row r="3" spans="1:5" x14ac:dyDescent="0.25">
      <c r="A3" s="4" t="b">
        <v>1</v>
      </c>
      <c r="B3" s="5" t="s">
        <v>151</v>
      </c>
      <c r="C3" s="10"/>
    </row>
    <row r="4" spans="1:5" x14ac:dyDescent="0.25">
      <c r="A4" s="4" t="b">
        <v>1</v>
      </c>
      <c r="B4" s="6" t="s">
        <v>12</v>
      </c>
      <c r="C4" s="7"/>
    </row>
    <row r="5" spans="1:5" ht="15.75" thickBot="1" x14ac:dyDescent="0.3">
      <c r="A5" s="4" t="b">
        <v>0</v>
      </c>
      <c r="B5" s="8" t="s">
        <v>13</v>
      </c>
      <c r="C5" s="9"/>
    </row>
    <row r="6" spans="1:5" ht="9" customHeight="1" thickBot="1" x14ac:dyDescent="0.3">
      <c r="A6" s="20">
        <v>0</v>
      </c>
    </row>
    <row r="7" spans="1:5" x14ac:dyDescent="0.25">
      <c r="A7" s="4" t="b">
        <v>1</v>
      </c>
      <c r="B7" s="5" t="str">
        <f>"MPU_S Region "&amp;A6</f>
        <v>MPU_S Region 0</v>
      </c>
      <c r="C7" s="10"/>
    </row>
    <row r="8" spans="1:5" x14ac:dyDescent="0.25">
      <c r="A8" s="4" t="b">
        <v>1</v>
      </c>
      <c r="B8" s="6" t="s">
        <v>17</v>
      </c>
      <c r="C8" s="7"/>
    </row>
    <row r="9" spans="1:5" x14ac:dyDescent="0.25">
      <c r="A9" s="12" t="str">
        <f>DEC2HEX(_xlfn.BITLSHIFT(_xlfn.BITRSHIFT(HEX2DEC(C9),5),5),8)</f>
        <v>20000000</v>
      </c>
      <c r="B9" s="6" t="s">
        <v>18</v>
      </c>
      <c r="C9" s="16" t="s">
        <v>83</v>
      </c>
      <c r="D9" s="11" t="s">
        <v>39</v>
      </c>
      <c r="E9" s="14" t="str">
        <f>"0x"&amp;DEC2HEX(_xlfn.BITLSHIFT(_xlfn.BITRSHIFT(HEX2DEC(C9),5),5),8)</f>
        <v>0x20000000</v>
      </c>
    </row>
    <row r="10" spans="1:5" x14ac:dyDescent="0.25">
      <c r="A10" s="4" t="str">
        <f>DEC2HEX(_xlfn.BITLSHIFT(_xlfn.BITRSHIFT(HEX2DEC(C10),5),5)-1,8)</f>
        <v>2000001F</v>
      </c>
      <c r="B10" s="6" t="s">
        <v>44</v>
      </c>
      <c r="C10" s="16" t="s">
        <v>84</v>
      </c>
      <c r="D10" s="11" t="s">
        <v>38</v>
      </c>
      <c r="E10" s="13" t="str">
        <f>"0x"&amp;DEC2HEX(_xlfn.BITLSHIFT(_xlfn.BITRSHIFT(HEX2DEC(C10),5),5)-1,8)</f>
        <v>0x2000001F</v>
      </c>
    </row>
    <row r="11" spans="1:5" x14ac:dyDescent="0.25">
      <c r="A11" s="4">
        <v>2</v>
      </c>
      <c r="B11" s="6" t="s">
        <v>14</v>
      </c>
      <c r="C11" s="7"/>
      <c r="D11" s="11" t="s">
        <v>37</v>
      </c>
      <c r="E11" s="15" t="str">
        <f>"0x"&amp;TEXT(DEC2HEX(HEX2DEC(C10)-HEX2DEC(C9),8),"00000000")</f>
        <v>0x00000020</v>
      </c>
    </row>
    <row r="12" spans="1:5" x14ac:dyDescent="0.25">
      <c r="A12" s="4" t="b">
        <v>1</v>
      </c>
      <c r="B12" s="6" t="s">
        <v>15</v>
      </c>
      <c r="C12" s="7"/>
      <c r="D12" s="11"/>
      <c r="E12" s="15" t="str">
        <f>IF(HEX2DEC(RIGHT(E11,8))&gt;=1024,(HEX2DEC(RIGHT(E11,8))/1024)&amp;" kB",HEX2DEC(RIGHT(E11,8))&amp;" byte")</f>
        <v>32 byte</v>
      </c>
    </row>
    <row r="13" spans="1:5" x14ac:dyDescent="0.25">
      <c r="A13" s="4" t="b">
        <v>0</v>
      </c>
      <c r="B13" s="6" t="s">
        <v>49</v>
      </c>
      <c r="C13" s="7"/>
    </row>
    <row r="14" spans="1:5" x14ac:dyDescent="0.25">
      <c r="A14" s="4">
        <v>4</v>
      </c>
      <c r="B14" s="6" t="s">
        <v>16</v>
      </c>
      <c r="C14" s="7"/>
    </row>
    <row r="15" spans="1:5" ht="15.75" thickBot="1" x14ac:dyDescent="0.3">
      <c r="A15" s="4">
        <v>2</v>
      </c>
      <c r="B15" s="8" t="s">
        <v>50</v>
      </c>
      <c r="C15" s="9"/>
    </row>
    <row r="16" spans="1:5" ht="9" customHeight="1" thickBot="1" x14ac:dyDescent="0.3">
      <c r="A16" s="20">
        <f>A6+1</f>
        <v>1</v>
      </c>
    </row>
    <row r="17" spans="1:5" x14ac:dyDescent="0.25">
      <c r="A17" s="4" t="b">
        <v>0</v>
      </c>
      <c r="B17" s="5" t="str">
        <f>"MPU_S Region "&amp;A16</f>
        <v>MPU_S Region 1</v>
      </c>
      <c r="C17" s="10"/>
    </row>
    <row r="18" spans="1:5" x14ac:dyDescent="0.25">
      <c r="A18" s="4" t="b">
        <v>1</v>
      </c>
      <c r="B18" s="6" t="s">
        <v>17</v>
      </c>
      <c r="C18" s="7"/>
    </row>
    <row r="19" spans="1:5" x14ac:dyDescent="0.25">
      <c r="A19" s="12" t="str">
        <f>DEC2HEX(_xlfn.BITLSHIFT(_xlfn.BITRSHIFT(HEX2DEC(C19),5),5),8)</f>
        <v>00000000</v>
      </c>
      <c r="B19" s="6" t="s">
        <v>18</v>
      </c>
      <c r="C19" s="16" t="s">
        <v>73</v>
      </c>
      <c r="D19" s="11" t="s">
        <v>39</v>
      </c>
      <c r="E19" s="14" t="str">
        <f>"0x"&amp;DEC2HEX(_xlfn.BITLSHIFT(_xlfn.BITRSHIFT(HEX2DEC(C19),5),5),8)</f>
        <v>0x00000000</v>
      </c>
    </row>
    <row r="20" spans="1:5" x14ac:dyDescent="0.25">
      <c r="A20" s="4" t="str">
        <f>DEC2HEX(_xlfn.BITLSHIFT(_xlfn.BITRSHIFT(HEX2DEC(C20),5),5)-1,8)</f>
        <v>0000001F</v>
      </c>
      <c r="B20" s="6" t="s">
        <v>44</v>
      </c>
      <c r="C20" s="16" t="s">
        <v>74</v>
      </c>
      <c r="D20" s="11" t="s">
        <v>38</v>
      </c>
      <c r="E20" s="13" t="str">
        <f>"0x"&amp;DEC2HEX(_xlfn.BITLSHIFT(_xlfn.BITRSHIFT(HEX2DEC(C20),5),5)-1,8)</f>
        <v>0x0000001F</v>
      </c>
    </row>
    <row r="21" spans="1:5" x14ac:dyDescent="0.25">
      <c r="A21" s="4">
        <v>1</v>
      </c>
      <c r="B21" s="6" t="s">
        <v>14</v>
      </c>
      <c r="C21" s="7"/>
      <c r="D21" s="11" t="s">
        <v>37</v>
      </c>
      <c r="E21" s="15" t="str">
        <f>"0x"&amp;TEXT(DEC2HEX(HEX2DEC(C20)-HEX2DEC(C19),8),"00000000")</f>
        <v>0x00000020</v>
      </c>
    </row>
    <row r="22" spans="1:5" x14ac:dyDescent="0.25">
      <c r="A22" s="4" t="b">
        <v>0</v>
      </c>
      <c r="B22" s="6" t="s">
        <v>15</v>
      </c>
      <c r="C22" s="7"/>
      <c r="D22" s="11"/>
      <c r="E22" s="15" t="str">
        <f>IF(HEX2DEC(RIGHT(E21,8))&gt;=1024,(HEX2DEC(RIGHT(E21,8))/1024)&amp;" kB",HEX2DEC(RIGHT(E21,8))&amp;" byte")</f>
        <v>32 byte</v>
      </c>
    </row>
    <row r="23" spans="1:5" x14ac:dyDescent="0.25">
      <c r="A23" s="4" t="b">
        <v>0</v>
      </c>
      <c r="B23" s="6" t="s">
        <v>49</v>
      </c>
      <c r="C23" s="7"/>
    </row>
    <row r="24" spans="1:5" x14ac:dyDescent="0.25">
      <c r="A24" s="4">
        <v>1</v>
      </c>
      <c r="B24" s="6" t="s">
        <v>16</v>
      </c>
      <c r="C24" s="7"/>
    </row>
    <row r="25" spans="1:5" ht="15.75" thickBot="1" x14ac:dyDescent="0.3">
      <c r="A25" s="4">
        <v>2</v>
      </c>
      <c r="B25" s="8" t="s">
        <v>50</v>
      </c>
      <c r="C25" s="9"/>
    </row>
    <row r="26" spans="1:5" ht="9" customHeight="1" thickBot="1" x14ac:dyDescent="0.3">
      <c r="A26" s="20">
        <f>A16+1</f>
        <v>2</v>
      </c>
    </row>
    <row r="27" spans="1:5" x14ac:dyDescent="0.25">
      <c r="A27" s="4" t="b">
        <v>0</v>
      </c>
      <c r="B27" s="5" t="str">
        <f>"MPU Region "&amp;A26</f>
        <v>MPU Region 2</v>
      </c>
      <c r="C27" s="10"/>
    </row>
    <row r="28" spans="1:5" x14ac:dyDescent="0.25">
      <c r="A28" s="4" t="b">
        <v>1</v>
      </c>
      <c r="B28" s="6" t="s">
        <v>17</v>
      </c>
      <c r="C28" s="7"/>
    </row>
    <row r="29" spans="1:5" x14ac:dyDescent="0.25">
      <c r="A29" s="12" t="str">
        <f>DEC2HEX(_xlfn.BITLSHIFT(_xlfn.BITRSHIFT(HEX2DEC(C29),5),5),8)</f>
        <v>00000000</v>
      </c>
      <c r="B29" s="6" t="s">
        <v>18</v>
      </c>
      <c r="C29" s="16" t="s">
        <v>73</v>
      </c>
      <c r="D29" s="11" t="s">
        <v>39</v>
      </c>
      <c r="E29" s="14" t="str">
        <f>"0x"&amp;DEC2HEX(_xlfn.BITLSHIFT(_xlfn.BITRSHIFT(HEX2DEC(C29),5),5),8)</f>
        <v>0x00000000</v>
      </c>
    </row>
    <row r="30" spans="1:5" x14ac:dyDescent="0.25">
      <c r="A30" s="4" t="str">
        <f>DEC2HEX(_xlfn.BITLSHIFT(_xlfn.BITRSHIFT(HEX2DEC(C30),5),5)-1,8)</f>
        <v>0000001F</v>
      </c>
      <c r="B30" s="6" t="s">
        <v>44</v>
      </c>
      <c r="C30" s="16" t="s">
        <v>74</v>
      </c>
      <c r="D30" s="11" t="s">
        <v>38</v>
      </c>
      <c r="E30" s="13" t="str">
        <f>"0x"&amp;DEC2HEX(_xlfn.BITLSHIFT(_xlfn.BITRSHIFT(HEX2DEC(C30),5),5)-1,8)</f>
        <v>0x0000001F</v>
      </c>
    </row>
    <row r="31" spans="1:5" x14ac:dyDescent="0.25">
      <c r="A31" s="4">
        <v>1</v>
      </c>
      <c r="B31" s="6" t="s">
        <v>14</v>
      </c>
      <c r="C31" s="7"/>
      <c r="D31" s="11" t="s">
        <v>37</v>
      </c>
      <c r="E31" s="15" t="str">
        <f>"0x"&amp;TEXT(DEC2HEX(HEX2DEC(C30)-HEX2DEC(C29),8),"00000000")</f>
        <v>0x00000020</v>
      </c>
    </row>
    <row r="32" spans="1:5" x14ac:dyDescent="0.25">
      <c r="A32" s="4" t="b">
        <v>0</v>
      </c>
      <c r="B32" s="6" t="s">
        <v>15</v>
      </c>
      <c r="C32" s="7"/>
      <c r="D32" s="11"/>
      <c r="E32" s="15" t="str">
        <f>IF(HEX2DEC(RIGHT(E31,8))&gt;=1024,(HEX2DEC(RIGHT(E31,8))/1024)&amp;" kB",HEX2DEC(RIGHT(E31,8))&amp;" byte")</f>
        <v>32 byte</v>
      </c>
    </row>
    <row r="33" spans="1:5" x14ac:dyDescent="0.25">
      <c r="A33" s="4" t="b">
        <v>0</v>
      </c>
      <c r="B33" s="6" t="s">
        <v>49</v>
      </c>
      <c r="C33" s="7"/>
    </row>
    <row r="34" spans="1:5" x14ac:dyDescent="0.25">
      <c r="A34" s="4">
        <v>2</v>
      </c>
      <c r="B34" s="6" t="s">
        <v>16</v>
      </c>
      <c r="C34" s="7"/>
    </row>
    <row r="35" spans="1:5" ht="15.75" thickBot="1" x14ac:dyDescent="0.3">
      <c r="A35" s="4">
        <v>3</v>
      </c>
      <c r="B35" s="8" t="s">
        <v>50</v>
      </c>
      <c r="C35" s="9"/>
    </row>
    <row r="36" spans="1:5" ht="9" customHeight="1" thickBot="1" x14ac:dyDescent="0.3">
      <c r="A36" s="20">
        <f>A26+1</f>
        <v>3</v>
      </c>
    </row>
    <row r="37" spans="1:5" x14ac:dyDescent="0.25">
      <c r="A37" s="4" t="b">
        <v>0</v>
      </c>
      <c r="B37" s="5" t="str">
        <f>"MPU_S Region "&amp;A36</f>
        <v>MPU_S Region 3</v>
      </c>
      <c r="C37" s="10"/>
    </row>
    <row r="38" spans="1:5" x14ac:dyDescent="0.25">
      <c r="A38" s="4" t="b">
        <v>1</v>
      </c>
      <c r="B38" s="6" t="s">
        <v>17</v>
      </c>
      <c r="C38" s="7"/>
    </row>
    <row r="39" spans="1:5" x14ac:dyDescent="0.25">
      <c r="A39" s="12" t="str">
        <f>DEC2HEX(_xlfn.BITLSHIFT(_xlfn.BITRSHIFT(HEX2DEC(C39),5),5),8)</f>
        <v>00000000</v>
      </c>
      <c r="B39" s="6" t="s">
        <v>18</v>
      </c>
      <c r="C39" s="16" t="s">
        <v>73</v>
      </c>
      <c r="D39" s="11" t="s">
        <v>39</v>
      </c>
      <c r="E39" s="14" t="str">
        <f>"0x"&amp;DEC2HEX(_xlfn.BITLSHIFT(_xlfn.BITRSHIFT(HEX2DEC(C39),5),5),8)</f>
        <v>0x00000000</v>
      </c>
    </row>
    <row r="40" spans="1:5" x14ac:dyDescent="0.25">
      <c r="A40" s="4" t="str">
        <f>DEC2HEX(_xlfn.BITLSHIFT(_xlfn.BITRSHIFT(HEX2DEC(C40),5),5)-1,8)</f>
        <v>0000001F</v>
      </c>
      <c r="B40" s="6" t="s">
        <v>44</v>
      </c>
      <c r="C40" s="16" t="s">
        <v>74</v>
      </c>
      <c r="D40" s="11" t="s">
        <v>38</v>
      </c>
      <c r="E40" s="13" t="str">
        <f>"0x"&amp;DEC2HEX(_xlfn.BITLSHIFT(_xlfn.BITRSHIFT(HEX2DEC(C40),5),5)-1,8)</f>
        <v>0x0000001F</v>
      </c>
    </row>
    <row r="41" spans="1:5" x14ac:dyDescent="0.25">
      <c r="A41" s="4">
        <v>1</v>
      </c>
      <c r="B41" s="6" t="s">
        <v>14</v>
      </c>
      <c r="C41" s="7"/>
      <c r="D41" s="11" t="s">
        <v>37</v>
      </c>
      <c r="E41" s="15" t="str">
        <f>"0x"&amp;TEXT(DEC2HEX(HEX2DEC(C40)-HEX2DEC(C39),8),"00000000")</f>
        <v>0x00000020</v>
      </c>
    </row>
    <row r="42" spans="1:5" x14ac:dyDescent="0.25">
      <c r="A42" s="4" t="b">
        <v>0</v>
      </c>
      <c r="B42" s="6" t="s">
        <v>15</v>
      </c>
      <c r="C42" s="7"/>
      <c r="D42" s="11"/>
      <c r="E42" s="15" t="str">
        <f>IF(HEX2DEC(RIGHT(E41,8))&gt;=1024,(HEX2DEC(RIGHT(E41,8))/1024)&amp;" kB",HEX2DEC(RIGHT(E41,8))&amp;" byte")</f>
        <v>32 byte</v>
      </c>
    </row>
    <row r="43" spans="1:5" x14ac:dyDescent="0.25">
      <c r="A43" s="4" t="b">
        <v>0</v>
      </c>
      <c r="B43" s="6" t="s">
        <v>49</v>
      </c>
      <c r="C43" s="7"/>
    </row>
    <row r="44" spans="1:5" x14ac:dyDescent="0.25">
      <c r="A44" s="4">
        <v>1</v>
      </c>
      <c r="B44" s="6" t="s">
        <v>16</v>
      </c>
      <c r="C44" s="7"/>
    </row>
    <row r="45" spans="1:5" ht="15.75" thickBot="1" x14ac:dyDescent="0.3">
      <c r="A45" s="4">
        <v>4</v>
      </c>
      <c r="B45" s="8" t="s">
        <v>50</v>
      </c>
      <c r="C45" s="9"/>
    </row>
    <row r="46" spans="1:5" ht="9" customHeight="1" thickBot="1" x14ac:dyDescent="0.3">
      <c r="A46" s="20">
        <f>A36+1</f>
        <v>4</v>
      </c>
    </row>
    <row r="47" spans="1:5" x14ac:dyDescent="0.25">
      <c r="A47" s="4" t="b">
        <v>0</v>
      </c>
      <c r="B47" s="5" t="str">
        <f>"MPU_S Region "&amp;A46</f>
        <v>MPU_S Region 4</v>
      </c>
      <c r="C47" s="10"/>
    </row>
    <row r="48" spans="1:5" x14ac:dyDescent="0.25">
      <c r="A48" s="4" t="b">
        <v>1</v>
      </c>
      <c r="B48" s="6" t="s">
        <v>17</v>
      </c>
      <c r="C48" s="7"/>
    </row>
    <row r="49" spans="1:5" x14ac:dyDescent="0.25">
      <c r="A49" s="12" t="str">
        <f>DEC2HEX(_xlfn.BITLSHIFT(_xlfn.BITRSHIFT(HEX2DEC(C49),5),5),8)</f>
        <v>00000000</v>
      </c>
      <c r="B49" s="6" t="s">
        <v>18</v>
      </c>
      <c r="C49" s="16" t="s">
        <v>73</v>
      </c>
      <c r="D49" s="11" t="s">
        <v>39</v>
      </c>
      <c r="E49" s="14" t="str">
        <f>"0x"&amp;DEC2HEX(_xlfn.BITLSHIFT(_xlfn.BITRSHIFT(HEX2DEC(C49),5),5),8)</f>
        <v>0x00000000</v>
      </c>
    </row>
    <row r="50" spans="1:5" x14ac:dyDescent="0.25">
      <c r="A50" s="4" t="str">
        <f>DEC2HEX(_xlfn.BITLSHIFT(_xlfn.BITRSHIFT(HEX2DEC(C50),5),5)-1,8)</f>
        <v>0000001F</v>
      </c>
      <c r="B50" s="6" t="s">
        <v>44</v>
      </c>
      <c r="C50" s="16" t="s">
        <v>74</v>
      </c>
      <c r="D50" s="11" t="s">
        <v>38</v>
      </c>
      <c r="E50" s="13" t="str">
        <f>"0x"&amp;DEC2HEX(_xlfn.BITLSHIFT(_xlfn.BITRSHIFT(HEX2DEC(C50),5),5)-1,8)</f>
        <v>0x0000001F</v>
      </c>
    </row>
    <row r="51" spans="1:5" x14ac:dyDescent="0.25">
      <c r="A51" s="4">
        <v>1</v>
      </c>
      <c r="B51" s="6" t="s">
        <v>14</v>
      </c>
      <c r="C51" s="7"/>
      <c r="D51" s="11" t="s">
        <v>37</v>
      </c>
      <c r="E51" s="15" t="str">
        <f>"0x"&amp;TEXT(DEC2HEX(HEX2DEC(C50)-HEX2DEC(C49),8),"00000000")</f>
        <v>0x00000020</v>
      </c>
    </row>
    <row r="52" spans="1:5" x14ac:dyDescent="0.25">
      <c r="A52" s="4" t="b">
        <v>0</v>
      </c>
      <c r="B52" s="6" t="s">
        <v>15</v>
      </c>
      <c r="C52" s="7"/>
      <c r="D52" s="11"/>
      <c r="E52" s="15" t="str">
        <f>IF(HEX2DEC(RIGHT(E51,8))&gt;=1024,(HEX2DEC(RIGHT(E51,8))/1024)&amp;" kB",HEX2DEC(RIGHT(E51,8))&amp;" byte")</f>
        <v>32 byte</v>
      </c>
    </row>
    <row r="53" spans="1:5" x14ac:dyDescent="0.25">
      <c r="A53" s="4" t="b">
        <v>0</v>
      </c>
      <c r="B53" s="6" t="s">
        <v>49</v>
      </c>
      <c r="C53" s="7"/>
    </row>
    <row r="54" spans="1:5" x14ac:dyDescent="0.25">
      <c r="A54" s="4">
        <v>1</v>
      </c>
      <c r="B54" s="6" t="s">
        <v>16</v>
      </c>
      <c r="C54" s="7"/>
    </row>
    <row r="55" spans="1:5" ht="15.75" thickBot="1" x14ac:dyDescent="0.3">
      <c r="A55" s="4">
        <v>1</v>
      </c>
      <c r="B55" s="8" t="s">
        <v>50</v>
      </c>
      <c r="C55" s="9"/>
    </row>
    <row r="56" spans="1:5" ht="9" customHeight="1" thickBot="1" x14ac:dyDescent="0.3">
      <c r="A56" s="20">
        <f>A46+1</f>
        <v>5</v>
      </c>
    </row>
    <row r="57" spans="1:5" x14ac:dyDescent="0.25">
      <c r="A57" s="4" t="b">
        <v>0</v>
      </c>
      <c r="B57" s="5" t="str">
        <f>"MPU_S Region "&amp;A56</f>
        <v>MPU_S Region 5</v>
      </c>
      <c r="C57" s="10"/>
    </row>
    <row r="58" spans="1:5" x14ac:dyDescent="0.25">
      <c r="A58" s="4" t="b">
        <v>1</v>
      </c>
      <c r="B58" s="6" t="s">
        <v>17</v>
      </c>
      <c r="C58" s="7"/>
    </row>
    <row r="59" spans="1:5" x14ac:dyDescent="0.25">
      <c r="A59" s="12" t="str">
        <f>DEC2HEX(_xlfn.BITLSHIFT(_xlfn.BITRSHIFT(HEX2DEC(C59),5),5),8)</f>
        <v>00000000</v>
      </c>
      <c r="B59" s="6" t="s">
        <v>18</v>
      </c>
      <c r="C59" s="16" t="s">
        <v>73</v>
      </c>
      <c r="D59" s="11" t="s">
        <v>39</v>
      </c>
      <c r="E59" s="14" t="str">
        <f>"0x"&amp;DEC2HEX(_xlfn.BITLSHIFT(_xlfn.BITRSHIFT(HEX2DEC(C59),5),5),8)</f>
        <v>0x00000000</v>
      </c>
    </row>
    <row r="60" spans="1:5" x14ac:dyDescent="0.25">
      <c r="A60" s="4" t="str">
        <f>DEC2HEX(_xlfn.BITLSHIFT(_xlfn.BITRSHIFT(HEX2DEC(C60),5),5)-1,8)</f>
        <v>0000001F</v>
      </c>
      <c r="B60" s="6" t="s">
        <v>44</v>
      </c>
      <c r="C60" s="16" t="s">
        <v>74</v>
      </c>
      <c r="D60" s="11" t="s">
        <v>38</v>
      </c>
      <c r="E60" s="13" t="str">
        <f>"0x"&amp;DEC2HEX(_xlfn.BITLSHIFT(_xlfn.BITRSHIFT(HEX2DEC(C60),5),5)-1,8)</f>
        <v>0x0000001F</v>
      </c>
    </row>
    <row r="61" spans="1:5" x14ac:dyDescent="0.25">
      <c r="A61" s="4">
        <v>1</v>
      </c>
      <c r="B61" s="6" t="s">
        <v>14</v>
      </c>
      <c r="C61" s="7"/>
      <c r="D61" s="11" t="s">
        <v>37</v>
      </c>
      <c r="E61" s="15" t="str">
        <f>"0x"&amp;TEXT(DEC2HEX(HEX2DEC(C60)-HEX2DEC(C59),8),"00000000")</f>
        <v>0x00000020</v>
      </c>
    </row>
    <row r="62" spans="1:5" x14ac:dyDescent="0.25">
      <c r="A62" s="4" t="b">
        <v>0</v>
      </c>
      <c r="B62" s="6" t="s">
        <v>15</v>
      </c>
      <c r="C62" s="7"/>
      <c r="D62" s="11"/>
      <c r="E62" s="15" t="str">
        <f>IF(HEX2DEC(RIGHT(E61,8))&gt;=1024,(HEX2DEC(RIGHT(E61,8))/1024)&amp;" kB",HEX2DEC(RIGHT(E61,8))&amp;" byte")</f>
        <v>32 byte</v>
      </c>
    </row>
    <row r="63" spans="1:5" x14ac:dyDescent="0.25">
      <c r="A63" s="4" t="b">
        <v>0</v>
      </c>
      <c r="B63" s="6" t="s">
        <v>49</v>
      </c>
      <c r="C63" s="7"/>
    </row>
    <row r="64" spans="1:5" x14ac:dyDescent="0.25">
      <c r="A64" s="4">
        <v>2</v>
      </c>
      <c r="B64" s="6" t="s">
        <v>16</v>
      </c>
      <c r="C64" s="7"/>
    </row>
    <row r="65" spans="1:5" ht="15.75" thickBot="1" x14ac:dyDescent="0.3">
      <c r="A65" s="4">
        <v>8</v>
      </c>
      <c r="B65" s="8" t="s">
        <v>50</v>
      </c>
      <c r="C65" s="9"/>
    </row>
    <row r="66" spans="1:5" ht="9" customHeight="1" thickBot="1" x14ac:dyDescent="0.3">
      <c r="A66" s="20">
        <f>A56+1</f>
        <v>6</v>
      </c>
    </row>
    <row r="67" spans="1:5" x14ac:dyDescent="0.25">
      <c r="A67" s="4" t="b">
        <v>0</v>
      </c>
      <c r="B67" s="5" t="str">
        <f>"MPU_S Region "&amp;A66</f>
        <v>MPU_S Region 6</v>
      </c>
      <c r="C67" s="10"/>
    </row>
    <row r="68" spans="1:5" x14ac:dyDescent="0.25">
      <c r="A68" s="4" t="b">
        <v>1</v>
      </c>
      <c r="B68" s="6" t="s">
        <v>17</v>
      </c>
      <c r="C68" s="7"/>
    </row>
    <row r="69" spans="1:5" x14ac:dyDescent="0.25">
      <c r="A69" s="12" t="str">
        <f>DEC2HEX(_xlfn.BITLSHIFT(_xlfn.BITRSHIFT(HEX2DEC(C69),5),5),8)</f>
        <v>00000000</v>
      </c>
      <c r="B69" s="6" t="s">
        <v>18</v>
      </c>
      <c r="C69" s="16" t="s">
        <v>73</v>
      </c>
      <c r="D69" s="11" t="s">
        <v>39</v>
      </c>
      <c r="E69" s="14" t="str">
        <f>"0x"&amp;DEC2HEX(_xlfn.BITLSHIFT(_xlfn.BITRSHIFT(HEX2DEC(C69),5),5),8)</f>
        <v>0x00000000</v>
      </c>
    </row>
    <row r="70" spans="1:5" x14ac:dyDescent="0.25">
      <c r="A70" s="4" t="str">
        <f>DEC2HEX(_xlfn.BITLSHIFT(_xlfn.BITRSHIFT(HEX2DEC(C70),5),5)-1,8)</f>
        <v>0000001F</v>
      </c>
      <c r="B70" s="6" t="s">
        <v>44</v>
      </c>
      <c r="C70" s="16" t="s">
        <v>74</v>
      </c>
      <c r="D70" s="11" t="s">
        <v>38</v>
      </c>
      <c r="E70" s="13" t="str">
        <f>"0x"&amp;DEC2HEX(_xlfn.BITLSHIFT(_xlfn.BITRSHIFT(HEX2DEC(C70),5),5)-1,8)</f>
        <v>0x0000001F</v>
      </c>
    </row>
    <row r="71" spans="1:5" x14ac:dyDescent="0.25">
      <c r="A71" s="4">
        <v>1</v>
      </c>
      <c r="B71" s="6" t="s">
        <v>14</v>
      </c>
      <c r="C71" s="7"/>
      <c r="D71" s="11" t="s">
        <v>37</v>
      </c>
      <c r="E71" s="15" t="str">
        <f>"0x"&amp;TEXT(DEC2HEX(HEX2DEC(C70)-HEX2DEC(C69),8),"00000000")</f>
        <v>0x00000020</v>
      </c>
    </row>
    <row r="72" spans="1:5" x14ac:dyDescent="0.25">
      <c r="A72" s="4" t="b">
        <v>0</v>
      </c>
      <c r="B72" s="6" t="s">
        <v>15</v>
      </c>
      <c r="C72" s="7"/>
      <c r="D72" s="11"/>
      <c r="E72" s="15" t="str">
        <f>IF(HEX2DEC(RIGHT(E71,8))&gt;=1024,(HEX2DEC(RIGHT(E71,8))/1024)&amp;" kB",HEX2DEC(RIGHT(E71,8))&amp;" byte")</f>
        <v>32 byte</v>
      </c>
    </row>
    <row r="73" spans="1:5" x14ac:dyDescent="0.25">
      <c r="A73" s="4" t="b">
        <v>0</v>
      </c>
      <c r="B73" s="6" t="s">
        <v>49</v>
      </c>
      <c r="C73" s="7"/>
    </row>
    <row r="74" spans="1:5" x14ac:dyDescent="0.25">
      <c r="A74" s="4">
        <v>1</v>
      </c>
      <c r="B74" s="6" t="s">
        <v>16</v>
      </c>
      <c r="C74" s="7"/>
    </row>
    <row r="75" spans="1:5" ht="15.75" thickBot="1" x14ac:dyDescent="0.3">
      <c r="A75" s="4">
        <v>1</v>
      </c>
      <c r="B75" s="8" t="s">
        <v>50</v>
      </c>
      <c r="C75" s="9"/>
    </row>
    <row r="76" spans="1:5" ht="9" customHeight="1" thickBot="1" x14ac:dyDescent="0.3">
      <c r="A76" s="20">
        <f>A66+1</f>
        <v>7</v>
      </c>
    </row>
    <row r="77" spans="1:5" x14ac:dyDescent="0.25">
      <c r="A77" s="4" t="b">
        <v>0</v>
      </c>
      <c r="B77" s="5" t="str">
        <f>"MPU_S Region "&amp;A76</f>
        <v>MPU_S Region 7</v>
      </c>
      <c r="C77" s="10"/>
    </row>
    <row r="78" spans="1:5" x14ac:dyDescent="0.25">
      <c r="A78" s="4" t="b">
        <v>1</v>
      </c>
      <c r="B78" s="6" t="s">
        <v>17</v>
      </c>
      <c r="C78" s="7"/>
    </row>
    <row r="79" spans="1:5" x14ac:dyDescent="0.25">
      <c r="A79" s="12" t="str">
        <f>DEC2HEX(_xlfn.BITLSHIFT(_xlfn.BITRSHIFT(HEX2DEC(C79),5),5),8)</f>
        <v>00000000</v>
      </c>
      <c r="B79" s="6" t="s">
        <v>18</v>
      </c>
      <c r="C79" s="16" t="s">
        <v>73</v>
      </c>
      <c r="D79" s="11" t="s">
        <v>39</v>
      </c>
      <c r="E79" s="14" t="str">
        <f>"0x"&amp;DEC2HEX(_xlfn.BITLSHIFT(_xlfn.BITRSHIFT(HEX2DEC(C79),5),5),8)</f>
        <v>0x00000000</v>
      </c>
    </row>
    <row r="80" spans="1:5" x14ac:dyDescent="0.25">
      <c r="A80" s="4" t="str">
        <f>DEC2HEX(_xlfn.BITLSHIFT(_xlfn.BITRSHIFT(HEX2DEC(C80),5),5)-1,8)</f>
        <v>0000001F</v>
      </c>
      <c r="B80" s="6" t="s">
        <v>44</v>
      </c>
      <c r="C80" s="16" t="s">
        <v>74</v>
      </c>
      <c r="D80" s="11" t="s">
        <v>38</v>
      </c>
      <c r="E80" s="13" t="str">
        <f>"0x"&amp;DEC2HEX(_xlfn.BITLSHIFT(_xlfn.BITRSHIFT(HEX2DEC(C80),5),5)-1,8)</f>
        <v>0x0000001F</v>
      </c>
    </row>
    <row r="81" spans="1:5" x14ac:dyDescent="0.25">
      <c r="A81" s="4">
        <v>1</v>
      </c>
      <c r="B81" s="6" t="s">
        <v>14</v>
      </c>
      <c r="C81" s="7"/>
      <c r="D81" s="11" t="s">
        <v>37</v>
      </c>
      <c r="E81" s="15" t="str">
        <f>"0x"&amp;TEXT(DEC2HEX(HEX2DEC(C80)-HEX2DEC(C79),8),"00000000")</f>
        <v>0x00000020</v>
      </c>
    </row>
    <row r="82" spans="1:5" x14ac:dyDescent="0.25">
      <c r="A82" s="4" t="b">
        <v>0</v>
      </c>
      <c r="B82" s="6" t="s">
        <v>15</v>
      </c>
      <c r="C82" s="7"/>
      <c r="D82" s="11"/>
      <c r="E82" s="15" t="str">
        <f>IF(HEX2DEC(RIGHT(E81,8))&gt;=1024,(HEX2DEC(RIGHT(E81,8))/1024)&amp;" kB",HEX2DEC(RIGHT(E81,8))&amp;" byte")</f>
        <v>32 byte</v>
      </c>
    </row>
    <row r="83" spans="1:5" x14ac:dyDescent="0.25">
      <c r="A83" s="4" t="b">
        <v>0</v>
      </c>
      <c r="B83" s="6" t="s">
        <v>49</v>
      </c>
      <c r="C83" s="7"/>
    </row>
    <row r="84" spans="1:5" x14ac:dyDescent="0.25">
      <c r="A84" s="4">
        <v>1</v>
      </c>
      <c r="B84" s="6" t="s">
        <v>16</v>
      </c>
      <c r="C84" s="7"/>
    </row>
    <row r="85" spans="1:5" ht="15.75" thickBot="1" x14ac:dyDescent="0.3">
      <c r="A85" s="4">
        <v>1</v>
      </c>
      <c r="B85" s="8" t="s">
        <v>50</v>
      </c>
      <c r="C85" s="9"/>
    </row>
    <row r="86" spans="1:5" ht="9" customHeight="1" thickBot="1" x14ac:dyDescent="0.3">
      <c r="A86" s="20">
        <f>A76+1</f>
        <v>8</v>
      </c>
    </row>
    <row r="87" spans="1:5" x14ac:dyDescent="0.25">
      <c r="A87" s="4" t="b">
        <v>0</v>
      </c>
      <c r="B87" s="5" t="str">
        <f>"MPU_S Region "&amp;A86</f>
        <v>MPU_S Region 8</v>
      </c>
      <c r="C87" s="10"/>
    </row>
    <row r="88" spans="1:5" x14ac:dyDescent="0.25">
      <c r="A88" s="4" t="b">
        <v>1</v>
      </c>
      <c r="B88" s="6" t="s">
        <v>17</v>
      </c>
      <c r="C88" s="7"/>
    </row>
    <row r="89" spans="1:5" x14ac:dyDescent="0.25">
      <c r="A89" s="12" t="str">
        <f>DEC2HEX(_xlfn.BITLSHIFT(_xlfn.BITRSHIFT(HEX2DEC(C89),5),5),8)</f>
        <v>00000000</v>
      </c>
      <c r="B89" s="6" t="s">
        <v>18</v>
      </c>
      <c r="C89" s="16" t="s">
        <v>73</v>
      </c>
      <c r="D89" s="11" t="s">
        <v>39</v>
      </c>
      <c r="E89" s="14" t="str">
        <f>"0x"&amp;DEC2HEX(_xlfn.BITLSHIFT(_xlfn.BITRSHIFT(HEX2DEC(C89),5),5),8)</f>
        <v>0x00000000</v>
      </c>
    </row>
    <row r="90" spans="1:5" x14ac:dyDescent="0.25">
      <c r="A90" s="4" t="str">
        <f>DEC2HEX(_xlfn.BITLSHIFT(_xlfn.BITRSHIFT(HEX2DEC(C90),5),5)-1,8)</f>
        <v>0000001F</v>
      </c>
      <c r="B90" s="6" t="s">
        <v>44</v>
      </c>
      <c r="C90" s="16" t="s">
        <v>74</v>
      </c>
      <c r="D90" s="11" t="s">
        <v>38</v>
      </c>
      <c r="E90" s="13" t="str">
        <f>"0x"&amp;DEC2HEX(_xlfn.BITLSHIFT(_xlfn.BITRSHIFT(HEX2DEC(C90),5),5)-1,8)</f>
        <v>0x0000001F</v>
      </c>
    </row>
    <row r="91" spans="1:5" x14ac:dyDescent="0.25">
      <c r="A91" s="4">
        <v>2</v>
      </c>
      <c r="B91" s="6" t="s">
        <v>14</v>
      </c>
      <c r="C91" s="7"/>
      <c r="D91" s="11" t="s">
        <v>37</v>
      </c>
      <c r="E91" s="15" t="str">
        <f>"0x"&amp;TEXT(DEC2HEX(HEX2DEC(C90)-HEX2DEC(C89),8),"00000000")</f>
        <v>0x00000020</v>
      </c>
    </row>
    <row r="92" spans="1:5" x14ac:dyDescent="0.25">
      <c r="A92" s="4" t="b">
        <v>0</v>
      </c>
      <c r="B92" s="6" t="s">
        <v>15</v>
      </c>
      <c r="C92" s="7"/>
      <c r="D92" s="11"/>
      <c r="E92" s="15" t="str">
        <f>IF(HEX2DEC(RIGHT(E91,8))&gt;=1024,(HEX2DEC(RIGHT(E91,8))/1024)&amp;" kB",HEX2DEC(RIGHT(E91,8))&amp;" byte")</f>
        <v>32 byte</v>
      </c>
    </row>
    <row r="93" spans="1:5" x14ac:dyDescent="0.25">
      <c r="A93" s="4" t="b">
        <v>0</v>
      </c>
      <c r="B93" s="6" t="s">
        <v>49</v>
      </c>
      <c r="C93" s="7"/>
    </row>
    <row r="94" spans="1:5" x14ac:dyDescent="0.25">
      <c r="A94" s="4">
        <v>1</v>
      </c>
      <c r="B94" s="6" t="s">
        <v>16</v>
      </c>
      <c r="C94" s="7"/>
    </row>
    <row r="95" spans="1:5" ht="15.75" thickBot="1" x14ac:dyDescent="0.3">
      <c r="A95" s="4">
        <v>1</v>
      </c>
      <c r="B95" s="8" t="s">
        <v>50</v>
      </c>
      <c r="C95" s="9"/>
    </row>
    <row r="96" spans="1:5" ht="9" customHeight="1" thickBot="1" x14ac:dyDescent="0.3">
      <c r="A96" s="20">
        <f>A86+1</f>
        <v>9</v>
      </c>
    </row>
    <row r="97" spans="1:5" x14ac:dyDescent="0.25">
      <c r="A97" s="4" t="b">
        <v>0</v>
      </c>
      <c r="B97" s="5" t="str">
        <f>"MPU_S Region "&amp;A96</f>
        <v>MPU_S Region 9</v>
      </c>
      <c r="C97" s="10"/>
    </row>
    <row r="98" spans="1:5" x14ac:dyDescent="0.25">
      <c r="A98" s="4" t="b">
        <v>0</v>
      </c>
      <c r="B98" s="6" t="s">
        <v>17</v>
      </c>
      <c r="C98" s="7"/>
    </row>
    <row r="99" spans="1:5" x14ac:dyDescent="0.25">
      <c r="A99" s="12" t="str">
        <f>DEC2HEX(_xlfn.BITLSHIFT(_xlfn.BITRSHIFT(HEX2DEC(C99),5),5),8)</f>
        <v>00000000</v>
      </c>
      <c r="B99" s="6" t="s">
        <v>18</v>
      </c>
      <c r="C99" s="16" t="s">
        <v>73</v>
      </c>
      <c r="D99" s="11" t="s">
        <v>39</v>
      </c>
      <c r="E99" s="14" t="str">
        <f>"0x"&amp;DEC2HEX(_xlfn.BITLSHIFT(_xlfn.BITRSHIFT(HEX2DEC(C99),5),5),8)</f>
        <v>0x00000000</v>
      </c>
    </row>
    <row r="100" spans="1:5" x14ac:dyDescent="0.25">
      <c r="A100" s="4" t="str">
        <f>DEC2HEX(_xlfn.BITLSHIFT(_xlfn.BITRSHIFT(HEX2DEC(C100),5),5)-1,8)</f>
        <v>0000001F</v>
      </c>
      <c r="B100" s="6" t="s">
        <v>44</v>
      </c>
      <c r="C100" s="16" t="s">
        <v>74</v>
      </c>
      <c r="D100" s="11" t="s">
        <v>38</v>
      </c>
      <c r="E100" s="13" t="str">
        <f>"0x"&amp;DEC2HEX(_xlfn.BITLSHIFT(_xlfn.BITRSHIFT(HEX2DEC(C100),5),5)-1,8)</f>
        <v>0x0000001F</v>
      </c>
    </row>
    <row r="101" spans="1:5" x14ac:dyDescent="0.25">
      <c r="A101" s="4">
        <v>1</v>
      </c>
      <c r="B101" s="6" t="s">
        <v>14</v>
      </c>
      <c r="C101" s="7"/>
      <c r="D101" s="11" t="s">
        <v>37</v>
      </c>
      <c r="E101" s="15" t="str">
        <f>"0x"&amp;TEXT(DEC2HEX(HEX2DEC(C100)-HEX2DEC(C99),8),"00000000")</f>
        <v>0x00000020</v>
      </c>
    </row>
    <row r="102" spans="1:5" x14ac:dyDescent="0.25">
      <c r="A102" s="4" t="b">
        <v>0</v>
      </c>
      <c r="B102" s="6" t="s">
        <v>15</v>
      </c>
      <c r="C102" s="7"/>
      <c r="D102" s="11"/>
      <c r="E102" s="15" t="str">
        <f>IF(HEX2DEC(RIGHT(E101,8))&gt;=1024,(HEX2DEC(RIGHT(E101,8))/1024)&amp;" kB",HEX2DEC(RIGHT(E101,8))&amp;" byte")</f>
        <v>32 byte</v>
      </c>
    </row>
    <row r="103" spans="1:5" x14ac:dyDescent="0.25">
      <c r="A103" s="4" t="b">
        <v>0</v>
      </c>
      <c r="B103" s="6" t="s">
        <v>49</v>
      </c>
      <c r="C103" s="7"/>
    </row>
    <row r="104" spans="1:5" x14ac:dyDescent="0.25">
      <c r="A104" s="4">
        <v>1</v>
      </c>
      <c r="B104" s="6" t="s">
        <v>16</v>
      </c>
      <c r="C104" s="7"/>
    </row>
    <row r="105" spans="1:5" ht="15.75" thickBot="1" x14ac:dyDescent="0.3">
      <c r="A105" s="4">
        <v>1</v>
      </c>
      <c r="B105" s="8" t="s">
        <v>50</v>
      </c>
      <c r="C105" s="9"/>
    </row>
    <row r="106" spans="1:5" ht="9" customHeight="1" thickBot="1" x14ac:dyDescent="0.3">
      <c r="A106" s="20">
        <f>A96+1</f>
        <v>10</v>
      </c>
    </row>
    <row r="107" spans="1:5" x14ac:dyDescent="0.25">
      <c r="A107" s="4" t="b">
        <v>0</v>
      </c>
      <c r="B107" s="5" t="str">
        <f>"MPU_S Region "&amp;A106</f>
        <v>MPU_S Region 10</v>
      </c>
      <c r="C107" s="10"/>
    </row>
    <row r="108" spans="1:5" x14ac:dyDescent="0.25">
      <c r="A108" s="4" t="b">
        <v>1</v>
      </c>
      <c r="B108" s="6" t="s">
        <v>17</v>
      </c>
      <c r="C108" s="7"/>
    </row>
    <row r="109" spans="1:5" x14ac:dyDescent="0.25">
      <c r="A109" s="12" t="str">
        <f>DEC2HEX(_xlfn.BITLSHIFT(_xlfn.BITRSHIFT(HEX2DEC(C109),5),5),8)</f>
        <v>00000000</v>
      </c>
      <c r="B109" s="6" t="s">
        <v>18</v>
      </c>
      <c r="C109" s="16" t="s">
        <v>73</v>
      </c>
      <c r="D109" s="11" t="s">
        <v>39</v>
      </c>
      <c r="E109" s="14" t="str">
        <f>"0x"&amp;DEC2HEX(_xlfn.BITLSHIFT(_xlfn.BITRSHIFT(HEX2DEC(C109),5),5),8)</f>
        <v>0x00000000</v>
      </c>
    </row>
    <row r="110" spans="1:5" x14ac:dyDescent="0.25">
      <c r="A110" s="4" t="str">
        <f>DEC2HEX(_xlfn.BITLSHIFT(_xlfn.BITRSHIFT(HEX2DEC(C110),5),5)-1,8)</f>
        <v>0000001F</v>
      </c>
      <c r="B110" s="6" t="s">
        <v>44</v>
      </c>
      <c r="C110" s="16" t="s">
        <v>74</v>
      </c>
      <c r="D110" s="11" t="s">
        <v>38</v>
      </c>
      <c r="E110" s="13" t="str">
        <f>"0x"&amp;DEC2HEX(_xlfn.BITLSHIFT(_xlfn.BITRSHIFT(HEX2DEC(C110),5),5)-1,8)</f>
        <v>0x0000001F</v>
      </c>
    </row>
    <row r="111" spans="1:5" x14ac:dyDescent="0.25">
      <c r="A111" s="4">
        <v>1</v>
      </c>
      <c r="B111" s="6" t="s">
        <v>14</v>
      </c>
      <c r="C111" s="7"/>
      <c r="D111" s="11" t="s">
        <v>37</v>
      </c>
      <c r="E111" s="15" t="str">
        <f>"0x"&amp;TEXT(DEC2HEX(HEX2DEC(C110)-HEX2DEC(C109),8),"00000000")</f>
        <v>0x00000020</v>
      </c>
    </row>
    <row r="112" spans="1:5" x14ac:dyDescent="0.25">
      <c r="A112" s="4" t="b">
        <v>0</v>
      </c>
      <c r="B112" s="6" t="s">
        <v>15</v>
      </c>
      <c r="C112" s="7"/>
      <c r="D112" s="11"/>
      <c r="E112" s="15" t="str">
        <f>IF(HEX2DEC(RIGHT(E111,8))&gt;=1024,(HEX2DEC(RIGHT(E111,8))/1024)&amp;" kB",HEX2DEC(RIGHT(E111,8))&amp;" byte")</f>
        <v>32 byte</v>
      </c>
    </row>
    <row r="113" spans="1:5" x14ac:dyDescent="0.25">
      <c r="A113" s="4" t="b">
        <v>0</v>
      </c>
      <c r="B113" s="6" t="s">
        <v>49</v>
      </c>
      <c r="C113" s="7"/>
    </row>
    <row r="114" spans="1:5" x14ac:dyDescent="0.25">
      <c r="A114" s="4">
        <v>1</v>
      </c>
      <c r="B114" s="6" t="s">
        <v>16</v>
      </c>
      <c r="C114" s="7"/>
    </row>
    <row r="115" spans="1:5" ht="15.75" thickBot="1" x14ac:dyDescent="0.3">
      <c r="A115" s="4">
        <v>1</v>
      </c>
      <c r="B115" s="8" t="s">
        <v>50</v>
      </c>
      <c r="C115" s="9"/>
    </row>
    <row r="116" spans="1:5" ht="9" customHeight="1" thickBot="1" x14ac:dyDescent="0.3">
      <c r="A116" s="20">
        <f>A106+1</f>
        <v>11</v>
      </c>
    </row>
    <row r="117" spans="1:5" x14ac:dyDescent="0.25">
      <c r="A117" s="4" t="b">
        <v>0</v>
      </c>
      <c r="B117" s="5" t="str">
        <f>"MPU_S Region "&amp;A116</f>
        <v>MPU_S Region 11</v>
      </c>
      <c r="C117" s="10"/>
    </row>
    <row r="118" spans="1:5" x14ac:dyDescent="0.25">
      <c r="A118" s="4" t="b">
        <v>1</v>
      </c>
      <c r="B118" s="6" t="s">
        <v>17</v>
      </c>
      <c r="C118" s="7"/>
    </row>
    <row r="119" spans="1:5" x14ac:dyDescent="0.25">
      <c r="A119" s="12" t="str">
        <f>DEC2HEX(_xlfn.BITLSHIFT(_xlfn.BITRSHIFT(HEX2DEC(C119),5),5),8)</f>
        <v>00000000</v>
      </c>
      <c r="B119" s="6" t="s">
        <v>18</v>
      </c>
      <c r="C119" s="16" t="s">
        <v>73</v>
      </c>
      <c r="D119" s="11" t="s">
        <v>39</v>
      </c>
      <c r="E119" s="14" t="str">
        <f>"0x"&amp;DEC2HEX(_xlfn.BITLSHIFT(_xlfn.BITRSHIFT(HEX2DEC(C119),5),5),8)</f>
        <v>0x00000000</v>
      </c>
    </row>
    <row r="120" spans="1:5" x14ac:dyDescent="0.25">
      <c r="A120" s="4" t="str">
        <f>DEC2HEX(_xlfn.BITLSHIFT(_xlfn.BITRSHIFT(HEX2DEC(C120),5),5)-1,8)</f>
        <v>0000001F</v>
      </c>
      <c r="B120" s="6" t="s">
        <v>44</v>
      </c>
      <c r="C120" s="16" t="s">
        <v>74</v>
      </c>
      <c r="D120" s="11" t="s">
        <v>38</v>
      </c>
      <c r="E120" s="13" t="str">
        <f>"0x"&amp;DEC2HEX(_xlfn.BITLSHIFT(_xlfn.BITRSHIFT(HEX2DEC(C120),5),5)-1,8)</f>
        <v>0x0000001F</v>
      </c>
    </row>
    <row r="121" spans="1:5" x14ac:dyDescent="0.25">
      <c r="A121" s="4">
        <v>1</v>
      </c>
      <c r="B121" s="6" t="s">
        <v>14</v>
      </c>
      <c r="C121" s="7"/>
      <c r="D121" s="11" t="s">
        <v>37</v>
      </c>
      <c r="E121" s="15" t="str">
        <f>"0x"&amp;TEXT(DEC2HEX(HEX2DEC(C120)-HEX2DEC(C119),8),"00000000")</f>
        <v>0x00000020</v>
      </c>
    </row>
    <row r="122" spans="1:5" x14ac:dyDescent="0.25">
      <c r="A122" s="4" t="b">
        <v>0</v>
      </c>
      <c r="B122" s="6" t="s">
        <v>15</v>
      </c>
      <c r="C122" s="7"/>
      <c r="D122" s="11"/>
      <c r="E122" s="15" t="str">
        <f>IF(HEX2DEC(RIGHT(E121,8))&gt;=1024,(HEX2DEC(RIGHT(E121,8))/1024)&amp;" kB",HEX2DEC(RIGHT(E121,8))&amp;" byte")</f>
        <v>32 byte</v>
      </c>
    </row>
    <row r="123" spans="1:5" x14ac:dyDescent="0.25">
      <c r="A123" s="4" t="b">
        <v>0</v>
      </c>
      <c r="B123" s="6" t="s">
        <v>49</v>
      </c>
      <c r="C123" s="7"/>
    </row>
    <row r="124" spans="1:5" x14ac:dyDescent="0.25">
      <c r="A124" s="4">
        <v>1</v>
      </c>
      <c r="B124" s="6" t="s">
        <v>16</v>
      </c>
      <c r="C124" s="7"/>
    </row>
    <row r="125" spans="1:5" ht="15.75" thickBot="1" x14ac:dyDescent="0.3">
      <c r="A125" s="4">
        <v>1</v>
      </c>
      <c r="B125" s="8" t="s">
        <v>50</v>
      </c>
      <c r="C125" s="9"/>
    </row>
    <row r="126" spans="1:5" ht="9" customHeight="1" thickBot="1" x14ac:dyDescent="0.3">
      <c r="A126" s="20">
        <f>A116+1</f>
        <v>12</v>
      </c>
    </row>
    <row r="127" spans="1:5" x14ac:dyDescent="0.25">
      <c r="A127" s="4" t="b">
        <v>0</v>
      </c>
      <c r="B127" s="5" t="str">
        <f>"MPU Region "&amp;A126</f>
        <v>MPU Region 12</v>
      </c>
      <c r="C127" s="10"/>
    </row>
    <row r="128" spans="1:5" x14ac:dyDescent="0.25">
      <c r="A128" s="4" t="b">
        <v>1</v>
      </c>
      <c r="B128" s="6" t="s">
        <v>17</v>
      </c>
      <c r="C128" s="7"/>
    </row>
    <row r="129" spans="1:5" x14ac:dyDescent="0.25">
      <c r="A129" s="12" t="str">
        <f>DEC2HEX(_xlfn.BITLSHIFT(_xlfn.BITRSHIFT(HEX2DEC(C129),5),5),8)</f>
        <v>00000000</v>
      </c>
      <c r="B129" s="6" t="s">
        <v>18</v>
      </c>
      <c r="C129" s="16" t="s">
        <v>73</v>
      </c>
      <c r="D129" s="11" t="s">
        <v>39</v>
      </c>
      <c r="E129" s="14" t="str">
        <f>"0x"&amp;DEC2HEX(_xlfn.BITLSHIFT(_xlfn.BITRSHIFT(HEX2DEC(C129),5),5),8)</f>
        <v>0x00000000</v>
      </c>
    </row>
    <row r="130" spans="1:5" x14ac:dyDescent="0.25">
      <c r="A130" s="4" t="str">
        <f>DEC2HEX(_xlfn.BITLSHIFT(_xlfn.BITRSHIFT(HEX2DEC(C130),5),5)-1,8)</f>
        <v>0000001F</v>
      </c>
      <c r="B130" s="6" t="s">
        <v>44</v>
      </c>
      <c r="C130" s="16" t="s">
        <v>74</v>
      </c>
      <c r="D130" s="11" t="s">
        <v>38</v>
      </c>
      <c r="E130" s="13" t="str">
        <f>"0x"&amp;DEC2HEX(_xlfn.BITLSHIFT(_xlfn.BITRSHIFT(HEX2DEC(C130),5),5)-1,8)</f>
        <v>0x0000001F</v>
      </c>
    </row>
    <row r="131" spans="1:5" x14ac:dyDescent="0.25">
      <c r="A131" s="4">
        <v>1</v>
      </c>
      <c r="B131" s="6" t="s">
        <v>14</v>
      </c>
      <c r="C131" s="7"/>
      <c r="D131" s="11" t="s">
        <v>37</v>
      </c>
      <c r="E131" s="15" t="str">
        <f>"0x"&amp;TEXT(DEC2HEX(HEX2DEC(C130)-HEX2DEC(C129),8),"00000000")</f>
        <v>0x00000020</v>
      </c>
    </row>
    <row r="132" spans="1:5" x14ac:dyDescent="0.25">
      <c r="A132" s="4" t="b">
        <v>0</v>
      </c>
      <c r="B132" s="6" t="s">
        <v>15</v>
      </c>
      <c r="C132" s="7"/>
      <c r="D132" s="11"/>
      <c r="E132" s="15" t="str">
        <f>IF(HEX2DEC(RIGHT(E131,8))&gt;=1024,(HEX2DEC(RIGHT(E131,8))/1024)&amp;" kB",HEX2DEC(RIGHT(E131,8))&amp;" byte")</f>
        <v>32 byte</v>
      </c>
    </row>
    <row r="133" spans="1:5" x14ac:dyDescent="0.25">
      <c r="A133" s="4" t="b">
        <v>0</v>
      </c>
      <c r="B133" s="6" t="s">
        <v>49</v>
      </c>
      <c r="C133" s="7"/>
    </row>
    <row r="134" spans="1:5" x14ac:dyDescent="0.25">
      <c r="A134" s="4">
        <v>1</v>
      </c>
      <c r="B134" s="6" t="s">
        <v>16</v>
      </c>
      <c r="C134" s="7"/>
    </row>
    <row r="135" spans="1:5" ht="15.75" thickBot="1" x14ac:dyDescent="0.3">
      <c r="A135" s="4">
        <v>1</v>
      </c>
      <c r="B135" s="8" t="s">
        <v>50</v>
      </c>
      <c r="C135" s="9"/>
    </row>
    <row r="136" spans="1:5" ht="9" customHeight="1" thickBot="1" x14ac:dyDescent="0.3">
      <c r="A136" s="20">
        <f>A126+1</f>
        <v>13</v>
      </c>
    </row>
    <row r="137" spans="1:5" x14ac:dyDescent="0.25">
      <c r="A137" s="4" t="b">
        <v>0</v>
      </c>
      <c r="B137" s="5" t="str">
        <f>"MPU_S Region "&amp;A136</f>
        <v>MPU_S Region 13</v>
      </c>
      <c r="C137" s="10"/>
    </row>
    <row r="138" spans="1:5" x14ac:dyDescent="0.25">
      <c r="A138" s="4" t="b">
        <v>1</v>
      </c>
      <c r="B138" s="6" t="s">
        <v>17</v>
      </c>
      <c r="C138" s="7"/>
    </row>
    <row r="139" spans="1:5" x14ac:dyDescent="0.25">
      <c r="A139" s="12" t="str">
        <f>DEC2HEX(_xlfn.BITLSHIFT(_xlfn.BITRSHIFT(HEX2DEC(C139),5),5),8)</f>
        <v>00000000</v>
      </c>
      <c r="B139" s="6" t="s">
        <v>18</v>
      </c>
      <c r="C139" s="16" t="s">
        <v>73</v>
      </c>
      <c r="D139" s="11" t="s">
        <v>39</v>
      </c>
      <c r="E139" s="14" t="str">
        <f>"0x"&amp;DEC2HEX(_xlfn.BITLSHIFT(_xlfn.BITRSHIFT(HEX2DEC(C139),5),5),8)</f>
        <v>0x00000000</v>
      </c>
    </row>
    <row r="140" spans="1:5" x14ac:dyDescent="0.25">
      <c r="A140" s="4" t="str">
        <f>DEC2HEX(_xlfn.BITLSHIFT(_xlfn.BITRSHIFT(HEX2DEC(C140),5),5)-1,8)</f>
        <v>0000001F</v>
      </c>
      <c r="B140" s="6" t="s">
        <v>44</v>
      </c>
      <c r="C140" s="16" t="s">
        <v>74</v>
      </c>
      <c r="D140" s="11" t="s">
        <v>38</v>
      </c>
      <c r="E140" s="13" t="str">
        <f>"0x"&amp;DEC2HEX(_xlfn.BITLSHIFT(_xlfn.BITRSHIFT(HEX2DEC(C140),5),5)-1,8)</f>
        <v>0x0000001F</v>
      </c>
    </row>
    <row r="141" spans="1:5" x14ac:dyDescent="0.25">
      <c r="A141" s="4">
        <v>1</v>
      </c>
      <c r="B141" s="6" t="s">
        <v>14</v>
      </c>
      <c r="C141" s="7"/>
      <c r="D141" s="11" t="s">
        <v>37</v>
      </c>
      <c r="E141" s="15" t="str">
        <f>"0x"&amp;TEXT(DEC2HEX(HEX2DEC(C140)-HEX2DEC(C139),8),"00000000")</f>
        <v>0x00000020</v>
      </c>
    </row>
    <row r="142" spans="1:5" x14ac:dyDescent="0.25">
      <c r="A142" s="4" t="b">
        <v>0</v>
      </c>
      <c r="B142" s="6" t="s">
        <v>15</v>
      </c>
      <c r="C142" s="7"/>
      <c r="D142" s="11"/>
      <c r="E142" s="15" t="str">
        <f>IF(HEX2DEC(RIGHT(E141,8))&gt;=1024,(HEX2DEC(RIGHT(E141,8))/1024)&amp;" kB",HEX2DEC(RIGHT(E141,8))&amp;" byte")</f>
        <v>32 byte</v>
      </c>
    </row>
    <row r="143" spans="1:5" x14ac:dyDescent="0.25">
      <c r="A143" s="4" t="b">
        <v>0</v>
      </c>
      <c r="B143" s="6" t="s">
        <v>49</v>
      </c>
      <c r="C143" s="7"/>
    </row>
    <row r="144" spans="1:5" x14ac:dyDescent="0.25">
      <c r="A144" s="4">
        <v>1</v>
      </c>
      <c r="B144" s="6" t="s">
        <v>16</v>
      </c>
      <c r="C144" s="7"/>
    </row>
    <row r="145" spans="1:5" ht="15.75" thickBot="1" x14ac:dyDescent="0.3">
      <c r="A145" s="4">
        <v>1</v>
      </c>
      <c r="B145" s="8" t="s">
        <v>50</v>
      </c>
      <c r="C145" s="9"/>
    </row>
    <row r="146" spans="1:5" ht="9" customHeight="1" thickBot="1" x14ac:dyDescent="0.3">
      <c r="A146" s="20">
        <f>A136+1</f>
        <v>14</v>
      </c>
    </row>
    <row r="147" spans="1:5" x14ac:dyDescent="0.25">
      <c r="A147" s="4" t="b">
        <v>0</v>
      </c>
      <c r="B147" s="5" t="str">
        <f>"MPU Region "&amp;A146</f>
        <v>MPU Region 14</v>
      </c>
      <c r="C147" s="10"/>
    </row>
    <row r="148" spans="1:5" x14ac:dyDescent="0.25">
      <c r="A148" s="4" t="b">
        <v>1</v>
      </c>
      <c r="B148" s="6" t="s">
        <v>17</v>
      </c>
      <c r="C148" s="7"/>
    </row>
    <row r="149" spans="1:5" x14ac:dyDescent="0.25">
      <c r="A149" s="12" t="str">
        <f>DEC2HEX(_xlfn.BITLSHIFT(_xlfn.BITRSHIFT(HEX2DEC(C149),5),5),8)</f>
        <v>00000000</v>
      </c>
      <c r="B149" s="6" t="s">
        <v>18</v>
      </c>
      <c r="C149" s="16" t="s">
        <v>73</v>
      </c>
      <c r="D149" s="11" t="s">
        <v>39</v>
      </c>
      <c r="E149" s="14" t="str">
        <f>"0x"&amp;DEC2HEX(_xlfn.BITLSHIFT(_xlfn.BITRSHIFT(HEX2DEC(C149),5),5),8)</f>
        <v>0x00000000</v>
      </c>
    </row>
    <row r="150" spans="1:5" x14ac:dyDescent="0.25">
      <c r="A150" s="4" t="str">
        <f>DEC2HEX(_xlfn.BITLSHIFT(_xlfn.BITRSHIFT(HEX2DEC(C150),5),5)-1,8)</f>
        <v>0000001F</v>
      </c>
      <c r="B150" s="6" t="s">
        <v>44</v>
      </c>
      <c r="C150" s="16" t="s">
        <v>74</v>
      </c>
      <c r="D150" s="11" t="s">
        <v>38</v>
      </c>
      <c r="E150" s="13" t="str">
        <f>"0x"&amp;DEC2HEX(_xlfn.BITLSHIFT(_xlfn.BITRSHIFT(HEX2DEC(C150),5),5)-1,8)</f>
        <v>0x0000001F</v>
      </c>
    </row>
    <row r="151" spans="1:5" x14ac:dyDescent="0.25">
      <c r="A151" s="4">
        <v>1</v>
      </c>
      <c r="B151" s="6" t="s">
        <v>14</v>
      </c>
      <c r="C151" s="7"/>
      <c r="D151" s="11" t="s">
        <v>37</v>
      </c>
      <c r="E151" s="15" t="str">
        <f>"0x"&amp;TEXT(DEC2HEX(HEX2DEC(C150)-HEX2DEC(C149),8),"00000000")</f>
        <v>0x00000020</v>
      </c>
    </row>
    <row r="152" spans="1:5" x14ac:dyDescent="0.25">
      <c r="A152" s="4" t="b">
        <v>0</v>
      </c>
      <c r="B152" s="6" t="s">
        <v>15</v>
      </c>
      <c r="C152" s="7"/>
      <c r="D152" s="11"/>
      <c r="E152" s="15" t="str">
        <f>IF(HEX2DEC(RIGHT(E151,8))&gt;=1024,(HEX2DEC(RIGHT(E151,8))/1024)&amp;" kB",HEX2DEC(RIGHT(E151,8))&amp;" byte")</f>
        <v>32 byte</v>
      </c>
    </row>
    <row r="153" spans="1:5" x14ac:dyDescent="0.25">
      <c r="A153" s="4" t="b">
        <v>0</v>
      </c>
      <c r="B153" s="6" t="s">
        <v>49</v>
      </c>
      <c r="C153" s="7"/>
    </row>
    <row r="154" spans="1:5" x14ac:dyDescent="0.25">
      <c r="A154" s="4">
        <v>1</v>
      </c>
      <c r="B154" s="6" t="s">
        <v>16</v>
      </c>
      <c r="C154" s="7"/>
    </row>
    <row r="155" spans="1:5" ht="15.75" thickBot="1" x14ac:dyDescent="0.3">
      <c r="A155" s="4">
        <v>2</v>
      </c>
      <c r="B155" s="8" t="s">
        <v>50</v>
      </c>
      <c r="C155" s="9"/>
    </row>
    <row r="156" spans="1:5" ht="9" customHeight="1" thickBot="1" x14ac:dyDescent="0.3">
      <c r="A156" s="20">
        <f>A146+1</f>
        <v>15</v>
      </c>
    </row>
    <row r="157" spans="1:5" x14ac:dyDescent="0.25">
      <c r="A157" s="4" t="b">
        <v>0</v>
      </c>
      <c r="B157" s="5" t="str">
        <f>"MPU_S Region "&amp;A156</f>
        <v>MPU_S Region 15</v>
      </c>
      <c r="C157" s="10"/>
    </row>
    <row r="158" spans="1:5" x14ac:dyDescent="0.25">
      <c r="A158" s="4" t="b">
        <v>1</v>
      </c>
      <c r="B158" s="6" t="s">
        <v>17</v>
      </c>
      <c r="C158" s="7"/>
    </row>
    <row r="159" spans="1:5" x14ac:dyDescent="0.25">
      <c r="A159" s="12" t="str">
        <f>DEC2HEX(_xlfn.BITLSHIFT(_xlfn.BITRSHIFT(HEX2DEC(C159),5),5),8)</f>
        <v>00000000</v>
      </c>
      <c r="B159" s="6" t="s">
        <v>18</v>
      </c>
      <c r="C159" s="16" t="s">
        <v>73</v>
      </c>
      <c r="D159" s="11" t="s">
        <v>39</v>
      </c>
      <c r="E159" s="14" t="str">
        <f>"0x"&amp;DEC2HEX(_xlfn.BITLSHIFT(_xlfn.BITRSHIFT(HEX2DEC(C159),5),5),8)</f>
        <v>0x00000000</v>
      </c>
    </row>
    <row r="160" spans="1:5" x14ac:dyDescent="0.25">
      <c r="A160" s="4" t="str">
        <f>DEC2HEX(_xlfn.BITLSHIFT(_xlfn.BITRSHIFT(HEX2DEC(C160),5),5)-1,8)</f>
        <v>0000001F</v>
      </c>
      <c r="B160" s="6" t="s">
        <v>44</v>
      </c>
      <c r="C160" s="16" t="s">
        <v>74</v>
      </c>
      <c r="D160" s="11" t="s">
        <v>38</v>
      </c>
      <c r="E160" s="13" t="str">
        <f>"0x"&amp;DEC2HEX(_xlfn.BITLSHIFT(_xlfn.BITRSHIFT(HEX2DEC(C160),5),5)-1,8)</f>
        <v>0x0000001F</v>
      </c>
    </row>
    <row r="161" spans="1:5" x14ac:dyDescent="0.25">
      <c r="A161" s="4">
        <v>1</v>
      </c>
      <c r="B161" s="6" t="s">
        <v>14</v>
      </c>
      <c r="C161" s="7"/>
      <c r="D161" s="11" t="s">
        <v>37</v>
      </c>
      <c r="E161" s="15" t="str">
        <f>"0x"&amp;TEXT(DEC2HEX(HEX2DEC(C160)-HEX2DEC(C159),8),"00000000")</f>
        <v>0x00000020</v>
      </c>
    </row>
    <row r="162" spans="1:5" x14ac:dyDescent="0.25">
      <c r="A162" s="4" t="b">
        <v>0</v>
      </c>
      <c r="B162" s="6" t="s">
        <v>15</v>
      </c>
      <c r="C162" s="7"/>
      <c r="D162" s="11"/>
      <c r="E162" s="15" t="str">
        <f>IF(HEX2DEC(RIGHT(E161,8))&gt;=1024,(HEX2DEC(RIGHT(E161,8))/1024)&amp;" kB",HEX2DEC(RIGHT(E161,8))&amp;" byte")</f>
        <v>32 byte</v>
      </c>
    </row>
    <row r="163" spans="1:5" x14ac:dyDescent="0.25">
      <c r="A163" s="4" t="b">
        <v>0</v>
      </c>
      <c r="B163" s="6" t="s">
        <v>49</v>
      </c>
      <c r="C163" s="7"/>
    </row>
    <row r="164" spans="1:5" x14ac:dyDescent="0.25">
      <c r="A164" s="4">
        <v>1</v>
      </c>
      <c r="B164" s="6" t="s">
        <v>16</v>
      </c>
      <c r="C164" s="7"/>
    </row>
    <row r="165" spans="1:5" ht="15.75" thickBot="1" x14ac:dyDescent="0.3">
      <c r="A165" s="4">
        <v>2</v>
      </c>
      <c r="B165" s="8" t="s">
        <v>50</v>
      </c>
      <c r="C165" s="9"/>
    </row>
    <row r="167" spans="1:5" ht="9" customHeight="1" thickBot="1" x14ac:dyDescent="0.3">
      <c r="A167" s="20">
        <v>0</v>
      </c>
    </row>
    <row r="168" spans="1:5" x14ac:dyDescent="0.25">
      <c r="A168" s="4" t="b">
        <v>1</v>
      </c>
      <c r="B168" s="5" t="str">
        <f>"Attribution Indirection "&amp;A167</f>
        <v>Attribution Indirection 0</v>
      </c>
      <c r="C168" s="28" t="str">
        <f ca="1">IF(A168,"0x"&amp;DEC2HEX(HEX2DEC(IF(A170&gt;1,INDIRECT("A"&amp;(264+A170)),DEC2HEX((16*IF(A171=1,4,(4*(A171-2))+(2*A172)+A173))+IF(A174=1,4,(4*(A174-2))+(2*A175)+A176),2)  )),2),"")</f>
        <v>0xAA</v>
      </c>
    </row>
    <row r="169" spans="1:5" x14ac:dyDescent="0.25">
      <c r="B169" s="6" t="s">
        <v>104</v>
      </c>
      <c r="C169" s="29" t="s">
        <v>148</v>
      </c>
    </row>
    <row r="170" spans="1:5" x14ac:dyDescent="0.25">
      <c r="A170" s="4">
        <v>6</v>
      </c>
      <c r="B170" s="6" t="s">
        <v>85</v>
      </c>
      <c r="C170" s="7"/>
    </row>
    <row r="171" spans="1:5" x14ac:dyDescent="0.25">
      <c r="A171" s="4">
        <v>1</v>
      </c>
      <c r="B171" s="6" t="s">
        <v>89</v>
      </c>
      <c r="C171" s="7"/>
    </row>
    <row r="172" spans="1:5" x14ac:dyDescent="0.25">
      <c r="A172" s="4" t="b">
        <v>0</v>
      </c>
      <c r="B172" s="6" t="s">
        <v>87</v>
      </c>
      <c r="C172" s="7"/>
    </row>
    <row r="173" spans="1:5" x14ac:dyDescent="0.25">
      <c r="A173" s="4" t="b">
        <v>0</v>
      </c>
      <c r="B173" s="6" t="s">
        <v>88</v>
      </c>
      <c r="C173" s="7"/>
    </row>
    <row r="174" spans="1:5" x14ac:dyDescent="0.25">
      <c r="A174" s="4">
        <v>1</v>
      </c>
      <c r="B174" s="6" t="s">
        <v>90</v>
      </c>
      <c r="C174" s="7"/>
    </row>
    <row r="175" spans="1:5" x14ac:dyDescent="0.25">
      <c r="A175" s="4" t="b">
        <v>0</v>
      </c>
      <c r="B175" s="6" t="s">
        <v>87</v>
      </c>
      <c r="C175" s="7"/>
    </row>
    <row r="176" spans="1:5" ht="15.75" thickBot="1" x14ac:dyDescent="0.3">
      <c r="A176" s="4" t="b">
        <v>0</v>
      </c>
      <c r="B176" s="8" t="s">
        <v>88</v>
      </c>
      <c r="C176" s="9"/>
    </row>
    <row r="177" spans="1:3" ht="9" customHeight="1" thickBot="1" x14ac:dyDescent="0.3">
      <c r="A177" s="20">
        <f>A167+1</f>
        <v>1</v>
      </c>
    </row>
    <row r="178" spans="1:3" x14ac:dyDescent="0.25">
      <c r="A178" s="4" t="b">
        <v>1</v>
      </c>
      <c r="B178" s="5" t="str">
        <f>"Attribution Indirection "&amp;A177</f>
        <v>Attribution Indirection 1</v>
      </c>
      <c r="C178" s="28" t="str">
        <f ca="1">IF(A178,"0x"&amp;DEC2HEX(HEX2DEC(IF(A180&gt;1,INDIRECT("A"&amp;(264+A180)),DEC2HEX((16*IF(A181=1,4,(4*(A181-2))+(2*A182)+A183))+IF(A184=1,4,(4*(A184-2))+(2*A185)+A186),2)  )),2),"")</f>
        <v>0xAA</v>
      </c>
    </row>
    <row r="179" spans="1:3" x14ac:dyDescent="0.25">
      <c r="B179" s="6" t="s">
        <v>104</v>
      </c>
      <c r="C179" s="29" t="s">
        <v>149</v>
      </c>
    </row>
    <row r="180" spans="1:3" x14ac:dyDescent="0.25">
      <c r="A180" s="4">
        <v>7</v>
      </c>
      <c r="B180" s="6" t="s">
        <v>85</v>
      </c>
      <c r="C180" s="7"/>
    </row>
    <row r="181" spans="1:3" x14ac:dyDescent="0.25">
      <c r="A181" s="4">
        <v>1</v>
      </c>
      <c r="B181" s="6" t="s">
        <v>89</v>
      </c>
      <c r="C181" s="7"/>
    </row>
    <row r="182" spans="1:3" x14ac:dyDescent="0.25">
      <c r="A182" s="4" t="b">
        <v>0</v>
      </c>
      <c r="B182" s="6" t="s">
        <v>87</v>
      </c>
      <c r="C182" s="7"/>
    </row>
    <row r="183" spans="1:3" x14ac:dyDescent="0.25">
      <c r="A183" s="4" t="b">
        <v>0</v>
      </c>
      <c r="B183" s="6" t="s">
        <v>88</v>
      </c>
      <c r="C183" s="7"/>
    </row>
    <row r="184" spans="1:3" x14ac:dyDescent="0.25">
      <c r="A184" s="4">
        <v>1</v>
      </c>
      <c r="B184" s="6" t="s">
        <v>90</v>
      </c>
      <c r="C184" s="7"/>
    </row>
    <row r="185" spans="1:3" x14ac:dyDescent="0.25">
      <c r="A185" s="4" t="b">
        <v>0</v>
      </c>
      <c r="B185" s="6" t="s">
        <v>87</v>
      </c>
      <c r="C185" s="7"/>
    </row>
    <row r="186" spans="1:3" ht="15.75" thickBot="1" x14ac:dyDescent="0.3">
      <c r="A186" s="4" t="b">
        <v>0</v>
      </c>
      <c r="B186" s="8" t="s">
        <v>88</v>
      </c>
      <c r="C186" s="9"/>
    </row>
    <row r="187" spans="1:3" ht="9" customHeight="1" thickBot="1" x14ac:dyDescent="0.3">
      <c r="A187" s="20">
        <f>A177+1</f>
        <v>2</v>
      </c>
    </row>
    <row r="188" spans="1:3" x14ac:dyDescent="0.25">
      <c r="A188" s="4" t="b">
        <v>1</v>
      </c>
      <c r="B188" s="5" t="str">
        <f>"Attribution Indirection "&amp;A187</f>
        <v>Attribution Indirection 2</v>
      </c>
      <c r="C188" s="28" t="str">
        <f ca="1">IF(A188,"0x"&amp;DEC2HEX(HEX2DEC(IF(A190&gt;1,INDIRECT("A"&amp;(264+A190)),DEC2HEX((16*IF(A191=1,4,(4*(A191-2))+(2*A192)+A193))+IF(A194=1,4,(4*(A194-2))+(2*A195)+A196),2)  )),2),"")</f>
        <v>0x00</v>
      </c>
    </row>
    <row r="189" spans="1:3" x14ac:dyDescent="0.25">
      <c r="B189" s="6" t="s">
        <v>104</v>
      </c>
      <c r="C189" s="29" t="s">
        <v>150</v>
      </c>
    </row>
    <row r="190" spans="1:3" x14ac:dyDescent="0.25">
      <c r="A190" s="4">
        <v>9</v>
      </c>
      <c r="B190" s="6" t="s">
        <v>85</v>
      </c>
      <c r="C190" s="7"/>
    </row>
    <row r="191" spans="1:3" x14ac:dyDescent="0.25">
      <c r="A191" s="4">
        <v>1</v>
      </c>
      <c r="B191" s="6" t="s">
        <v>89</v>
      </c>
      <c r="C191" s="7"/>
    </row>
    <row r="192" spans="1:3" x14ac:dyDescent="0.25">
      <c r="A192" s="4" t="b">
        <v>0</v>
      </c>
      <c r="B192" s="6" t="s">
        <v>87</v>
      </c>
      <c r="C192" s="7"/>
    </row>
    <row r="193" spans="1:3" x14ac:dyDescent="0.25">
      <c r="A193" s="4" t="b">
        <v>0</v>
      </c>
      <c r="B193" s="6" t="s">
        <v>88</v>
      </c>
      <c r="C193" s="7"/>
    </row>
    <row r="194" spans="1:3" x14ac:dyDescent="0.25">
      <c r="A194" s="4">
        <v>1</v>
      </c>
      <c r="B194" s="6" t="s">
        <v>90</v>
      </c>
      <c r="C194" s="7"/>
    </row>
    <row r="195" spans="1:3" x14ac:dyDescent="0.25">
      <c r="A195" s="4" t="b">
        <v>0</v>
      </c>
      <c r="B195" s="6" t="s">
        <v>87</v>
      </c>
      <c r="C195" s="7"/>
    </row>
    <row r="196" spans="1:3" ht="15.75" thickBot="1" x14ac:dyDescent="0.3">
      <c r="A196" s="4" t="b">
        <v>0</v>
      </c>
      <c r="B196" s="8" t="s">
        <v>88</v>
      </c>
      <c r="C196" s="9"/>
    </row>
    <row r="197" spans="1:3" ht="9" customHeight="1" thickBot="1" x14ac:dyDescent="0.3">
      <c r="A197" s="20">
        <f>A187+1</f>
        <v>3</v>
      </c>
    </row>
    <row r="198" spans="1:3" x14ac:dyDescent="0.25">
      <c r="A198" s="4" t="b">
        <v>0</v>
      </c>
      <c r="B198" s="5" t="str">
        <f>"Attribution Indirection "&amp;A197</f>
        <v>Attribution Indirection 3</v>
      </c>
      <c r="C198" s="28" t="str">
        <f ca="1">IF(A198,"0x"&amp;DEC2HEX(HEX2DEC(IF(A200&gt;1,INDIRECT("A"&amp;(264+A200)),DEC2HEX((16*IF(A201=1,4,(4*(A201-2))+(2*A202)+A203))+IF(A204=1,4,(4*(A204-2))+(2*A205)+A206),2)  )),2),"")</f>
        <v/>
      </c>
    </row>
    <row r="199" spans="1:3" x14ac:dyDescent="0.25">
      <c r="B199" s="6" t="s">
        <v>104</v>
      </c>
      <c r="C199" s="29" t="s">
        <v>139</v>
      </c>
    </row>
    <row r="200" spans="1:3" x14ac:dyDescent="0.25">
      <c r="A200" s="4">
        <v>1</v>
      </c>
      <c r="B200" s="6" t="s">
        <v>85</v>
      </c>
      <c r="C200" s="7"/>
    </row>
    <row r="201" spans="1:3" x14ac:dyDescent="0.25">
      <c r="A201" s="4">
        <v>1</v>
      </c>
      <c r="B201" s="6" t="s">
        <v>89</v>
      </c>
      <c r="C201" s="7"/>
    </row>
    <row r="202" spans="1:3" x14ac:dyDescent="0.25">
      <c r="A202" s="4" t="b">
        <v>0</v>
      </c>
      <c r="B202" s="6" t="s">
        <v>87</v>
      </c>
      <c r="C202" s="7"/>
    </row>
    <row r="203" spans="1:3" x14ac:dyDescent="0.25">
      <c r="A203" s="4" t="b">
        <v>0</v>
      </c>
      <c r="B203" s="6" t="s">
        <v>88</v>
      </c>
      <c r="C203" s="7"/>
    </row>
    <row r="204" spans="1:3" x14ac:dyDescent="0.25">
      <c r="A204" s="4">
        <v>1</v>
      </c>
      <c r="B204" s="6" t="s">
        <v>90</v>
      </c>
      <c r="C204" s="7"/>
    </row>
    <row r="205" spans="1:3" x14ac:dyDescent="0.25">
      <c r="A205" s="4" t="b">
        <v>0</v>
      </c>
      <c r="B205" s="6" t="s">
        <v>87</v>
      </c>
      <c r="C205" s="7"/>
    </row>
    <row r="206" spans="1:3" ht="15.75" thickBot="1" x14ac:dyDescent="0.3">
      <c r="A206" s="4" t="b">
        <v>0</v>
      </c>
      <c r="B206" s="8" t="s">
        <v>88</v>
      </c>
      <c r="C206" s="9"/>
    </row>
    <row r="207" spans="1:3" ht="9" customHeight="1" thickBot="1" x14ac:dyDescent="0.3">
      <c r="A207" s="20">
        <f>A197+1</f>
        <v>4</v>
      </c>
    </row>
    <row r="208" spans="1:3" x14ac:dyDescent="0.25">
      <c r="A208" s="4" t="b">
        <v>0</v>
      </c>
      <c r="B208" s="5" t="str">
        <f>"Attribution Indirection "&amp;A207</f>
        <v>Attribution Indirection 4</v>
      </c>
      <c r="C208" s="28" t="str">
        <f ca="1">IF(A208,"0x"&amp;DEC2HEX(HEX2DEC(IF(A210&gt;1,INDIRECT("A"&amp;(264+A210)),DEC2HEX((16*IF(A211=1,4,(4*(A211-2))+(2*A212)+A213))+IF(A214=1,4,(4*(A214-2))+(2*A215)+A216),2)  )),2),"")</f>
        <v/>
      </c>
    </row>
    <row r="209" spans="1:3" x14ac:dyDescent="0.25">
      <c r="B209" s="6" t="s">
        <v>104</v>
      </c>
      <c r="C209" s="29" t="s">
        <v>140</v>
      </c>
    </row>
    <row r="210" spans="1:3" x14ac:dyDescent="0.25">
      <c r="A210" s="4">
        <v>1</v>
      </c>
      <c r="B210" s="6" t="s">
        <v>85</v>
      </c>
      <c r="C210" s="7"/>
    </row>
    <row r="211" spans="1:3" x14ac:dyDescent="0.25">
      <c r="A211" s="4">
        <v>2</v>
      </c>
      <c r="B211" s="6" t="s">
        <v>89</v>
      </c>
      <c r="C211" s="7"/>
    </row>
    <row r="212" spans="1:3" x14ac:dyDescent="0.25">
      <c r="A212" s="4" t="b">
        <v>0</v>
      </c>
      <c r="B212" s="6" t="s">
        <v>87</v>
      </c>
      <c r="C212" s="7"/>
    </row>
    <row r="213" spans="1:3" x14ac:dyDescent="0.25">
      <c r="A213" s="4" t="b">
        <v>0</v>
      </c>
      <c r="B213" s="6" t="s">
        <v>88</v>
      </c>
      <c r="C213" s="7"/>
    </row>
    <row r="214" spans="1:3" x14ac:dyDescent="0.25">
      <c r="A214" s="4">
        <v>1</v>
      </c>
      <c r="B214" s="6" t="s">
        <v>90</v>
      </c>
      <c r="C214" s="7"/>
    </row>
    <row r="215" spans="1:3" x14ac:dyDescent="0.25">
      <c r="A215" s="4" t="b">
        <v>0</v>
      </c>
      <c r="B215" s="6" t="s">
        <v>87</v>
      </c>
      <c r="C215" s="7"/>
    </row>
    <row r="216" spans="1:3" ht="15.75" thickBot="1" x14ac:dyDescent="0.3">
      <c r="A216" s="4" t="b">
        <v>0</v>
      </c>
      <c r="B216" s="8" t="s">
        <v>88</v>
      </c>
      <c r="C216" s="9"/>
    </row>
    <row r="217" spans="1:3" ht="9" customHeight="1" thickBot="1" x14ac:dyDescent="0.3">
      <c r="A217" s="20">
        <f>A207+1</f>
        <v>5</v>
      </c>
    </row>
    <row r="218" spans="1:3" x14ac:dyDescent="0.25">
      <c r="A218" s="4" t="b">
        <v>0</v>
      </c>
      <c r="B218" s="5" t="str">
        <f>"Attribution Indirection "&amp;A217</f>
        <v>Attribution Indirection 5</v>
      </c>
      <c r="C218" s="28" t="str">
        <f ca="1">IF(A218,"0x"&amp;DEC2HEX(HEX2DEC(IF(A220&gt;1,INDIRECT("A"&amp;(264+A220)),DEC2HEX((16*IF(A221=1,4,(4*(A221-2))+(2*A222)+A223))+IF(A224=1,4,(4*(A224-2))+(2*A225)+A226),2)  )),2),"")</f>
        <v/>
      </c>
    </row>
    <row r="219" spans="1:3" x14ac:dyDescent="0.25">
      <c r="B219" s="6" t="s">
        <v>104</v>
      </c>
      <c r="C219" s="29" t="s">
        <v>141</v>
      </c>
    </row>
    <row r="220" spans="1:3" x14ac:dyDescent="0.25">
      <c r="A220" s="4">
        <v>1</v>
      </c>
      <c r="B220" s="6" t="s">
        <v>85</v>
      </c>
      <c r="C220" s="7"/>
    </row>
    <row r="221" spans="1:3" x14ac:dyDescent="0.25">
      <c r="A221" s="4">
        <v>1</v>
      </c>
      <c r="B221" s="6" t="s">
        <v>89</v>
      </c>
      <c r="C221" s="7"/>
    </row>
    <row r="222" spans="1:3" x14ac:dyDescent="0.25">
      <c r="A222" s="4" t="b">
        <v>0</v>
      </c>
      <c r="B222" s="6" t="s">
        <v>87</v>
      </c>
      <c r="C222" s="7"/>
    </row>
    <row r="223" spans="1:3" x14ac:dyDescent="0.25">
      <c r="A223" s="4" t="b">
        <v>0</v>
      </c>
      <c r="B223" s="6" t="s">
        <v>88</v>
      </c>
      <c r="C223" s="7"/>
    </row>
    <row r="224" spans="1:3" x14ac:dyDescent="0.25">
      <c r="A224" s="4">
        <v>1</v>
      </c>
      <c r="B224" s="6" t="s">
        <v>90</v>
      </c>
      <c r="C224" s="7"/>
    </row>
    <row r="225" spans="1:3" x14ac:dyDescent="0.25">
      <c r="A225" s="4" t="b">
        <v>0</v>
      </c>
      <c r="B225" s="6" t="s">
        <v>87</v>
      </c>
      <c r="C225" s="7"/>
    </row>
    <row r="226" spans="1:3" ht="15.75" thickBot="1" x14ac:dyDescent="0.3">
      <c r="A226" s="4" t="b">
        <v>0</v>
      </c>
      <c r="B226" s="8" t="s">
        <v>88</v>
      </c>
      <c r="C226" s="9"/>
    </row>
    <row r="227" spans="1:3" ht="9" customHeight="1" thickBot="1" x14ac:dyDescent="0.3">
      <c r="A227" s="20">
        <f>A217+1</f>
        <v>6</v>
      </c>
    </row>
    <row r="228" spans="1:3" x14ac:dyDescent="0.25">
      <c r="A228" s="4" t="b">
        <v>0</v>
      </c>
      <c r="B228" s="5" t="str">
        <f>"Attribution Indirection "&amp;A227</f>
        <v>Attribution Indirection 6</v>
      </c>
      <c r="C228" s="28" t="str">
        <f ca="1">IF(A228,"0x"&amp;DEC2HEX(HEX2DEC(IF(A230&gt;1,INDIRECT("A"&amp;(264+A230)),DEC2HEX((16*IF(A231=1,4,(4*(A231-2))+(2*A232)+A233))+IF(A234=1,4,(4*(A234-2))+(2*A235)+A236),2)  )),2),"")</f>
        <v/>
      </c>
    </row>
    <row r="229" spans="1:3" x14ac:dyDescent="0.25">
      <c r="B229" s="6" t="s">
        <v>104</v>
      </c>
      <c r="C229" s="29" t="s">
        <v>142</v>
      </c>
    </row>
    <row r="230" spans="1:3" x14ac:dyDescent="0.25">
      <c r="A230" s="4">
        <v>1</v>
      </c>
      <c r="B230" s="6" t="s">
        <v>85</v>
      </c>
      <c r="C230" s="7"/>
    </row>
    <row r="231" spans="1:3" x14ac:dyDescent="0.25">
      <c r="A231" s="4">
        <v>1</v>
      </c>
      <c r="B231" s="6" t="s">
        <v>89</v>
      </c>
      <c r="C231" s="7"/>
    </row>
    <row r="232" spans="1:3" x14ac:dyDescent="0.25">
      <c r="A232" s="4" t="b">
        <v>0</v>
      </c>
      <c r="B232" s="6" t="s">
        <v>87</v>
      </c>
      <c r="C232" s="7"/>
    </row>
    <row r="233" spans="1:3" x14ac:dyDescent="0.25">
      <c r="A233" s="4" t="b">
        <v>0</v>
      </c>
      <c r="B233" s="6" t="s">
        <v>88</v>
      </c>
      <c r="C233" s="7"/>
    </row>
    <row r="234" spans="1:3" x14ac:dyDescent="0.25">
      <c r="A234" s="4">
        <v>1</v>
      </c>
      <c r="B234" s="6" t="s">
        <v>90</v>
      </c>
      <c r="C234" s="7"/>
    </row>
    <row r="235" spans="1:3" x14ac:dyDescent="0.25">
      <c r="A235" s="4" t="b">
        <v>0</v>
      </c>
      <c r="B235" s="6" t="s">
        <v>87</v>
      </c>
      <c r="C235" s="7"/>
    </row>
    <row r="236" spans="1:3" ht="15.75" thickBot="1" x14ac:dyDescent="0.3">
      <c r="A236" s="4" t="b">
        <v>0</v>
      </c>
      <c r="B236" s="8" t="s">
        <v>88</v>
      </c>
      <c r="C236" s="9"/>
    </row>
    <row r="237" spans="1:3" ht="9" customHeight="1" thickBot="1" x14ac:dyDescent="0.3">
      <c r="A237" s="20">
        <f>A227+1</f>
        <v>7</v>
      </c>
    </row>
    <row r="238" spans="1:3" x14ac:dyDescent="0.25">
      <c r="A238" s="4" t="b">
        <v>0</v>
      </c>
      <c r="B238" s="5" t="str">
        <f>"Attribution Indirection "&amp;A237</f>
        <v>Attribution Indirection 7</v>
      </c>
      <c r="C238" s="28" t="str">
        <f ca="1">IF(A238,"0x"&amp;DEC2HEX(HEX2DEC(IF(A240&gt;1,INDIRECT("A"&amp;(264+A240)),DEC2HEX((16*IF(A241=1,4,(4*(A241-2))+(2*A242)+A243))+IF(A244=1,4,(4*(A244-2))+(2*A245)+A246),2)  )),2),"")</f>
        <v/>
      </c>
    </row>
    <row r="239" spans="1:3" x14ac:dyDescent="0.25">
      <c r="B239" s="6" t="s">
        <v>104</v>
      </c>
      <c r="C239" s="29" t="s">
        <v>190</v>
      </c>
    </row>
    <row r="240" spans="1:3" x14ac:dyDescent="0.25">
      <c r="A240" s="4">
        <v>1</v>
      </c>
      <c r="B240" s="6" t="s">
        <v>85</v>
      </c>
      <c r="C240" s="7"/>
    </row>
    <row r="241" spans="1:3" x14ac:dyDescent="0.25">
      <c r="A241" s="4">
        <v>1</v>
      </c>
      <c r="B241" s="6" t="s">
        <v>89</v>
      </c>
      <c r="C241" s="7"/>
    </row>
    <row r="242" spans="1:3" x14ac:dyDescent="0.25">
      <c r="A242" s="4" t="b">
        <v>0</v>
      </c>
      <c r="B242" s="6" t="s">
        <v>87</v>
      </c>
      <c r="C242" s="7"/>
    </row>
    <row r="243" spans="1:3" x14ac:dyDescent="0.25">
      <c r="A243" s="4" t="b">
        <v>0</v>
      </c>
      <c r="B243" s="6" t="s">
        <v>88</v>
      </c>
      <c r="C243" s="7"/>
    </row>
    <row r="244" spans="1:3" x14ac:dyDescent="0.25">
      <c r="A244" s="4">
        <v>1</v>
      </c>
      <c r="B244" s="6" t="s">
        <v>90</v>
      </c>
      <c r="C244" s="7"/>
    </row>
    <row r="245" spans="1:3" x14ac:dyDescent="0.25">
      <c r="A245" s="4" t="b">
        <v>0</v>
      </c>
      <c r="B245" s="6" t="s">
        <v>87</v>
      </c>
      <c r="C245" s="7"/>
    </row>
    <row r="246" spans="1:3" ht="15.75" thickBot="1" x14ac:dyDescent="0.3">
      <c r="A246" s="4" t="b">
        <v>0</v>
      </c>
      <c r="B246" s="8" t="s">
        <v>88</v>
      </c>
      <c r="C246" s="9"/>
    </row>
    <row r="249" spans="1:3" hidden="1" x14ac:dyDescent="0.25">
      <c r="B249" s="1" t="s">
        <v>45</v>
      </c>
    </row>
    <row r="250" spans="1:3" hidden="1" x14ac:dyDescent="0.25">
      <c r="B250" t="s">
        <v>48</v>
      </c>
    </row>
    <row r="251" spans="1:3" hidden="1" x14ac:dyDescent="0.25">
      <c r="B251" t="s">
        <v>46</v>
      </c>
    </row>
    <row r="252" spans="1:3" hidden="1" x14ac:dyDescent="0.25">
      <c r="B252" t="s">
        <v>47</v>
      </c>
    </row>
    <row r="253" spans="1:3" hidden="1" x14ac:dyDescent="0.25">
      <c r="B253" t="s">
        <v>67</v>
      </c>
    </row>
    <row r="254" spans="1:3" hidden="1" x14ac:dyDescent="0.25">
      <c r="B254" t="s">
        <v>68</v>
      </c>
    </row>
    <row r="255" spans="1:3" hidden="1" x14ac:dyDescent="0.25">
      <c r="B255" t="s">
        <v>65</v>
      </c>
    </row>
    <row r="256" spans="1:3" hidden="1" x14ac:dyDescent="0.25">
      <c r="B256" t="s">
        <v>66</v>
      </c>
    </row>
    <row r="257" spans="1:2" hidden="1" x14ac:dyDescent="0.25">
      <c r="A257" s="4">
        <v>169</v>
      </c>
      <c r="B257" t="str" cm="1">
        <f t="array" aca="1" ref="B257" ca="1">"Attr Indir 0  "&amp;IF(INDIRECT("A"&amp;(A257-1)),INDIRECT("C"&amp;A257)," -NO INIT-")</f>
        <v>Attr Indir 0  Def FLASH</v>
      </c>
    </row>
    <row r="258" spans="1:2" hidden="1" x14ac:dyDescent="0.25">
      <c r="A258" s="4">
        <v>179</v>
      </c>
      <c r="B258" t="str" cm="1">
        <f t="array" aca="1" ref="B258" ca="1">"Attr Indir 1  "&amp;IF(INDIRECT("A"&amp;(A258-1)),INDIRECT("C"&amp;A258)," -NO INIT-")</f>
        <v>Attr Indir 1  Def Int SRAM</v>
      </c>
    </row>
    <row r="259" spans="1:2" hidden="1" x14ac:dyDescent="0.25">
      <c r="A259" s="4">
        <v>189</v>
      </c>
      <c r="B259" t="str" cm="1">
        <f t="array" aca="1" ref="B259" ca="1">"Attr Indir 2  "&amp;IF(INDIRECT("A"&amp;(A259-1)),INDIRECT("C"&amp;A259)," -NO INIT-")</f>
        <v>Attr Indir 2  Def Periph</v>
      </c>
    </row>
    <row r="260" spans="1:2" hidden="1" x14ac:dyDescent="0.25">
      <c r="A260" s="4">
        <v>199</v>
      </c>
      <c r="B260" t="str" cm="1">
        <f t="array" aca="1" ref="B260" ca="1">"Attr Indir 3  "&amp;IF(INDIRECT("A"&amp;(A260-1)),INDIRECT("C"&amp;A260)," -NO INIT-")</f>
        <v>Attr Indir 3   -NO INIT-</v>
      </c>
    </row>
    <row r="261" spans="1:2" hidden="1" x14ac:dyDescent="0.25">
      <c r="A261" s="4">
        <v>209</v>
      </c>
      <c r="B261" t="str" cm="1">
        <f t="array" aca="1" ref="B261" ca="1">"Attr Indir 4  "&amp;IF(INDIRECT("A"&amp;(A261-1)),INDIRECT("C"&amp;A261)," -NO INIT-")</f>
        <v>Attr Indir 4   -NO INIT-</v>
      </c>
    </row>
    <row r="262" spans="1:2" hidden="1" x14ac:dyDescent="0.25">
      <c r="A262" s="4">
        <v>219</v>
      </c>
      <c r="B262" t="str" cm="1">
        <f t="array" aca="1" ref="B262" ca="1">"Attr Indir 5  "&amp;IF(INDIRECT("A"&amp;(A262-1)),INDIRECT("C"&amp;A262)," -NO INIT-")</f>
        <v>Attr Indir 5   -NO INIT-</v>
      </c>
    </row>
    <row r="263" spans="1:2" hidden="1" x14ac:dyDescent="0.25">
      <c r="A263" s="4">
        <v>229</v>
      </c>
      <c r="B263" t="str" cm="1">
        <f t="array" aca="1" ref="B263" ca="1">"Attr Indir 6  "&amp;IF(INDIRECT("A"&amp;(A263-1)),INDIRECT("C"&amp;A263)," -NO INIT-")</f>
        <v>Attr Indir 6   -NO INIT-</v>
      </c>
    </row>
    <row r="264" spans="1:2" hidden="1" x14ac:dyDescent="0.25">
      <c r="A264" s="4">
        <v>239</v>
      </c>
      <c r="B264" t="str" cm="1">
        <f t="array" aca="1" ref="B264" ca="1">"Attr Indir 7  "&amp;IF(INDIRECT("A"&amp;(A264-1)),INDIRECT("C"&amp;A264)," -NO INIT-")</f>
        <v>Attr Indir 7   -NO INIT-</v>
      </c>
    </row>
    <row r="265" spans="1:2" hidden="1" x14ac:dyDescent="0.25">
      <c r="A265" s="22">
        <v>1</v>
      </c>
      <c r="B265" t="s">
        <v>99</v>
      </c>
    </row>
    <row r="266" spans="1:2" hidden="1" x14ac:dyDescent="0.25">
      <c r="A266" s="22">
        <v>0</v>
      </c>
      <c r="B266" t="s">
        <v>95</v>
      </c>
    </row>
    <row r="267" spans="1:2" hidden="1" x14ac:dyDescent="0.25">
      <c r="A267" s="22">
        <v>4</v>
      </c>
      <c r="B267" t="s">
        <v>96</v>
      </c>
    </row>
    <row r="268" spans="1:2" hidden="1" x14ac:dyDescent="0.25">
      <c r="A268" s="22">
        <v>8</v>
      </c>
      <c r="B268" t="s">
        <v>97</v>
      </c>
    </row>
    <row r="269" spans="1:2" hidden="1" x14ac:dyDescent="0.25">
      <c r="A269" s="22" t="s">
        <v>105</v>
      </c>
      <c r="B269" t="s">
        <v>98</v>
      </c>
    </row>
    <row r="270" spans="1:2" hidden="1" x14ac:dyDescent="0.25">
      <c r="A270" s="22" t="s">
        <v>106</v>
      </c>
      <c r="B270" t="s">
        <v>103</v>
      </c>
    </row>
    <row r="271" spans="1:2" hidden="1" x14ac:dyDescent="0.25">
      <c r="A271" s="22" t="s">
        <v>106</v>
      </c>
      <c r="B271" t="s">
        <v>100</v>
      </c>
    </row>
    <row r="272" spans="1:2" hidden="1" x14ac:dyDescent="0.25">
      <c r="A272" s="22" t="s">
        <v>107</v>
      </c>
      <c r="B272" t="s">
        <v>101</v>
      </c>
    </row>
    <row r="273" spans="1:3" hidden="1" x14ac:dyDescent="0.25">
      <c r="A273" s="22">
        <v>0</v>
      </c>
      <c r="B273" t="s">
        <v>102</v>
      </c>
    </row>
    <row r="274" spans="1:3" hidden="1" x14ac:dyDescent="0.25">
      <c r="A274" s="22">
        <v>1</v>
      </c>
      <c r="B274" t="s">
        <v>86</v>
      </c>
    </row>
    <row r="275" spans="1:3" hidden="1" x14ac:dyDescent="0.25">
      <c r="A275" s="22">
        <v>0</v>
      </c>
      <c r="B275" t="s">
        <v>108</v>
      </c>
    </row>
    <row r="276" spans="1:3" hidden="1" x14ac:dyDescent="0.25">
      <c r="A276" s="22">
        <v>4</v>
      </c>
      <c r="B276" t="s">
        <v>110</v>
      </c>
    </row>
    <row r="277" spans="1:3" hidden="1" x14ac:dyDescent="0.25">
      <c r="A277" s="22">
        <v>8</v>
      </c>
      <c r="B277" t="s">
        <v>109</v>
      </c>
    </row>
    <row r="278" spans="1:3" hidden="1" x14ac:dyDescent="0.25">
      <c r="A278" s="22" t="s">
        <v>105</v>
      </c>
      <c r="B278" t="s">
        <v>111</v>
      </c>
    </row>
    <row r="279" spans="1:3" hidden="1" x14ac:dyDescent="0.25"/>
    <row r="280" spans="1:3" hidden="1" x14ac:dyDescent="0.25">
      <c r="A280" s="4">
        <v>0</v>
      </c>
      <c r="B280" t="s">
        <v>94</v>
      </c>
      <c r="C280" s="21">
        <v>2</v>
      </c>
    </row>
    <row r="281" spans="1:3" hidden="1" x14ac:dyDescent="0.25">
      <c r="A281" s="4">
        <v>1</v>
      </c>
      <c r="B281" t="s">
        <v>93</v>
      </c>
      <c r="C281" s="21">
        <v>3</v>
      </c>
    </row>
    <row r="282" spans="1:3" hidden="1" x14ac:dyDescent="0.25">
      <c r="A282" s="4">
        <v>2</v>
      </c>
      <c r="B282" t="s">
        <v>92</v>
      </c>
      <c r="C282" s="21">
        <v>2</v>
      </c>
    </row>
    <row r="283" spans="1:3" hidden="1" x14ac:dyDescent="0.25">
      <c r="A283" s="4">
        <v>3</v>
      </c>
      <c r="B283" t="s">
        <v>91</v>
      </c>
      <c r="C283" s="21">
        <v>3</v>
      </c>
    </row>
    <row r="655" spans="1:1" x14ac:dyDescent="0.25">
      <c r="A655" s="4">
        <v>1</v>
      </c>
    </row>
    <row r="2228" spans="1:1" x14ac:dyDescent="0.25">
      <c r="A2228" s="4" t="b">
        <v>1</v>
      </c>
    </row>
  </sheetData>
  <sheetProtection sheet="1" selectLockedCells="1"/>
  <phoneticPr fontId="3" type="noConversion"/>
  <conditionalFormatting sqref="B4:C5">
    <cfRule type="expression" dxfId="211" priority="253">
      <formula>NOT($A$3)</formula>
    </cfRule>
  </conditionalFormatting>
  <conditionalFormatting sqref="B8:C15">
    <cfRule type="expression" dxfId="210" priority="128">
      <formula>NOT($A$7)</formula>
    </cfRule>
  </conditionalFormatting>
  <conditionalFormatting sqref="B18:C25">
    <cfRule type="expression" dxfId="209" priority="129">
      <formula>NOT($A$17)</formula>
    </cfRule>
  </conditionalFormatting>
  <conditionalFormatting sqref="B28:C35">
    <cfRule type="expression" dxfId="208" priority="131">
      <formula>NOT($A$27)</formula>
    </cfRule>
  </conditionalFormatting>
  <conditionalFormatting sqref="B38:C45">
    <cfRule type="expression" dxfId="207" priority="127">
      <formula>NOT($A$37)</formula>
    </cfRule>
  </conditionalFormatting>
  <conditionalFormatting sqref="B48:C55">
    <cfRule type="expression" dxfId="206" priority="49">
      <formula>NOT($A$47)</formula>
    </cfRule>
  </conditionalFormatting>
  <conditionalFormatting sqref="B58:C65">
    <cfRule type="expression" dxfId="205" priority="122">
      <formula>NOT($A$57)</formula>
    </cfRule>
  </conditionalFormatting>
  <conditionalFormatting sqref="B68:C75">
    <cfRule type="expression" dxfId="204" priority="48">
      <formula>NOT($A$67)</formula>
    </cfRule>
  </conditionalFormatting>
  <conditionalFormatting sqref="B78:C85">
    <cfRule type="expression" dxfId="203" priority="47">
      <formula>NOT($A$77)</formula>
    </cfRule>
  </conditionalFormatting>
  <conditionalFormatting sqref="B88:C95">
    <cfRule type="expression" dxfId="202" priority="46">
      <formula>NOT($A$87)</formula>
    </cfRule>
  </conditionalFormatting>
  <conditionalFormatting sqref="B98:C105">
    <cfRule type="expression" dxfId="201" priority="45">
      <formula>NOT($A$97)</formula>
    </cfRule>
  </conditionalFormatting>
  <conditionalFormatting sqref="B108:C115">
    <cfRule type="expression" dxfId="200" priority="44">
      <formula>NOT($A$107)</formula>
    </cfRule>
  </conditionalFormatting>
  <conditionalFormatting sqref="B118:C125">
    <cfRule type="expression" dxfId="199" priority="43">
      <formula>NOT($A$117)</formula>
    </cfRule>
  </conditionalFormatting>
  <conditionalFormatting sqref="B128:C135">
    <cfRule type="expression" dxfId="198" priority="42">
      <formula>NOT($A$127)</formula>
    </cfRule>
  </conditionalFormatting>
  <conditionalFormatting sqref="B138:C145">
    <cfRule type="expression" dxfId="197" priority="41">
      <formula>NOT($A$137)</formula>
    </cfRule>
  </conditionalFormatting>
  <conditionalFormatting sqref="B148:C155">
    <cfRule type="expression" dxfId="196" priority="40">
      <formula>NOT($A$147)</formula>
    </cfRule>
  </conditionalFormatting>
  <conditionalFormatting sqref="B158:C165">
    <cfRule type="expression" dxfId="195" priority="39">
      <formula>NOT($A$157)</formula>
    </cfRule>
  </conditionalFormatting>
  <conditionalFormatting sqref="B169:C176">
    <cfRule type="expression" dxfId="194" priority="67">
      <formula>NOT($A$168)</formula>
    </cfRule>
  </conditionalFormatting>
  <conditionalFormatting sqref="B171:C176">
    <cfRule type="expression" dxfId="193" priority="71">
      <formula>$A$170&gt;1</formula>
    </cfRule>
  </conditionalFormatting>
  <conditionalFormatting sqref="B179:C186">
    <cfRule type="expression" dxfId="192" priority="61">
      <formula>NOT($A$178)</formula>
    </cfRule>
  </conditionalFormatting>
  <conditionalFormatting sqref="B181:C186">
    <cfRule type="expression" dxfId="191" priority="75">
      <formula>$A$180&gt;1</formula>
    </cfRule>
  </conditionalFormatting>
  <conditionalFormatting sqref="B189:C196">
    <cfRule type="expression" dxfId="190" priority="60">
      <formula>NOT($A$188)</formula>
    </cfRule>
  </conditionalFormatting>
  <conditionalFormatting sqref="B191:C196">
    <cfRule type="expression" dxfId="189" priority="58">
      <formula>$A$190&gt;1</formula>
    </cfRule>
  </conditionalFormatting>
  <conditionalFormatting sqref="B199:C206">
    <cfRule type="expression" dxfId="188" priority="59">
      <formula>NOT($A$198)</formula>
    </cfRule>
  </conditionalFormatting>
  <conditionalFormatting sqref="B201:C206">
    <cfRule type="expression" dxfId="187" priority="68">
      <formula>$A$200&gt;1</formula>
    </cfRule>
  </conditionalFormatting>
  <conditionalFormatting sqref="B209:C216">
    <cfRule type="expression" dxfId="186" priority="57">
      <formula>NOT($A$208)</formula>
    </cfRule>
  </conditionalFormatting>
  <conditionalFormatting sqref="B211:C216">
    <cfRule type="expression" dxfId="185" priority="56">
      <formula>$A$210&gt;1</formula>
    </cfRule>
  </conditionalFormatting>
  <conditionalFormatting sqref="B219:C226">
    <cfRule type="expression" dxfId="184" priority="53">
      <formula>NOT($A$218)</formula>
    </cfRule>
  </conditionalFormatting>
  <conditionalFormatting sqref="B221:C226">
    <cfRule type="expression" dxfId="183" priority="52">
      <formula>$A$220&gt;1</formula>
    </cfRule>
  </conditionalFormatting>
  <conditionalFormatting sqref="B229:C236">
    <cfRule type="expression" dxfId="182" priority="51">
      <formula>NOT($A$228)</formula>
    </cfRule>
  </conditionalFormatting>
  <conditionalFormatting sqref="B231:C236">
    <cfRule type="expression" dxfId="181" priority="63">
      <formula>$A$230&gt;1</formula>
    </cfRule>
  </conditionalFormatting>
  <conditionalFormatting sqref="B239:C246">
    <cfRule type="expression" dxfId="180" priority="50">
      <formula>NOT($A$238)</formula>
    </cfRule>
  </conditionalFormatting>
  <conditionalFormatting sqref="B241:C246">
    <cfRule type="expression" dxfId="179" priority="62">
      <formula>$A$240&gt;1</formula>
    </cfRule>
  </conditionalFormatting>
  <conditionalFormatting sqref="C3">
    <cfRule type="expression" dxfId="178" priority="247">
      <formula>$A$3</formula>
    </cfRule>
  </conditionalFormatting>
  <conditionalFormatting sqref="C7">
    <cfRule type="expression" dxfId="177" priority="249">
      <formula>$A$7</formula>
    </cfRule>
  </conditionalFormatting>
  <conditionalFormatting sqref="C9">
    <cfRule type="expression" dxfId="176" priority="156">
      <formula>(HEX2DEC(C9)=HEX2DEC(A9))</formula>
    </cfRule>
  </conditionalFormatting>
  <conditionalFormatting sqref="C10">
    <cfRule type="expression" dxfId="175" priority="157">
      <formula>(HEX2DEC(C10)=(HEX2DEC(A10)+1))</formula>
    </cfRule>
  </conditionalFormatting>
  <conditionalFormatting sqref="C17">
    <cfRule type="expression" dxfId="174" priority="150">
      <formula>$A$17</formula>
    </cfRule>
  </conditionalFormatting>
  <conditionalFormatting sqref="C19">
    <cfRule type="expression" dxfId="173" priority="146">
      <formula>(HEX2DEC(C19)=HEX2DEC(A19))</formula>
    </cfRule>
  </conditionalFormatting>
  <conditionalFormatting sqref="C20">
    <cfRule type="expression" dxfId="172" priority="147">
      <formula>(HEX2DEC(C20)=(HEX2DEC(A20)+1))</formula>
    </cfRule>
  </conditionalFormatting>
  <conditionalFormatting sqref="C27">
    <cfRule type="expression" dxfId="171" priority="140">
      <formula>$A$27</formula>
    </cfRule>
  </conditionalFormatting>
  <conditionalFormatting sqref="C29">
    <cfRule type="expression" dxfId="170" priority="142">
      <formula>(HEX2DEC(C29)=HEX2DEC(A29))</formula>
    </cfRule>
  </conditionalFormatting>
  <conditionalFormatting sqref="C30">
    <cfRule type="expression" dxfId="169" priority="143">
      <formula>(HEX2DEC(C30)=(HEX2DEC(A30)+1))</formula>
    </cfRule>
  </conditionalFormatting>
  <conditionalFormatting sqref="C37">
    <cfRule type="expression" dxfId="168" priority="132">
      <formula>$A$37</formula>
    </cfRule>
  </conditionalFormatting>
  <conditionalFormatting sqref="C39">
    <cfRule type="expression" dxfId="167" priority="133">
      <formula>(HEX2DEC(C39)=HEX2DEC(A39))</formula>
    </cfRule>
  </conditionalFormatting>
  <conditionalFormatting sqref="C40">
    <cfRule type="expression" dxfId="166" priority="134">
      <formula>(HEX2DEC(C40)=(HEX2DEC(A40)+1))</formula>
    </cfRule>
  </conditionalFormatting>
  <conditionalFormatting sqref="C47">
    <cfRule type="expression" dxfId="165" priority="123">
      <formula>$A$47</formula>
    </cfRule>
  </conditionalFormatting>
  <conditionalFormatting sqref="C49">
    <cfRule type="expression" dxfId="164" priority="124">
      <formula>(HEX2DEC(C49)=HEX2DEC(A49))</formula>
    </cfRule>
  </conditionalFormatting>
  <conditionalFormatting sqref="C50">
    <cfRule type="expression" dxfId="163" priority="125">
      <formula>(HEX2DEC(C50)=(HEX2DEC(A50)+1))</formula>
    </cfRule>
  </conditionalFormatting>
  <conditionalFormatting sqref="C57">
    <cfRule type="expression" dxfId="162" priority="118">
      <formula>$A$57</formula>
    </cfRule>
  </conditionalFormatting>
  <conditionalFormatting sqref="C59">
    <cfRule type="expression" dxfId="161" priority="119">
      <formula>(HEX2DEC(C59)=HEX2DEC(A59))</formula>
    </cfRule>
  </conditionalFormatting>
  <conditionalFormatting sqref="C60">
    <cfRule type="expression" dxfId="160" priority="120">
      <formula>(HEX2DEC(C60)=(HEX2DEC(A60)+1))</formula>
    </cfRule>
  </conditionalFormatting>
  <conditionalFormatting sqref="C67">
    <cfRule type="expression" dxfId="159" priority="114">
      <formula>$A$67</formula>
    </cfRule>
  </conditionalFormatting>
  <conditionalFormatting sqref="C69">
    <cfRule type="expression" dxfId="158" priority="115">
      <formula>(HEX2DEC(C69)=HEX2DEC(A69))</formula>
    </cfRule>
  </conditionalFormatting>
  <conditionalFormatting sqref="C70">
    <cfRule type="expression" dxfId="157" priority="116">
      <formula>(HEX2DEC(C70)=(HEX2DEC(A70)+1))</formula>
    </cfRule>
  </conditionalFormatting>
  <conditionalFormatting sqref="C77">
    <cfRule type="expression" dxfId="156" priority="110">
      <formula>$A$77</formula>
    </cfRule>
  </conditionalFormatting>
  <conditionalFormatting sqref="C79">
    <cfRule type="expression" dxfId="155" priority="111">
      <formula>(HEX2DEC(C79)=HEX2DEC(A79))</formula>
    </cfRule>
  </conditionalFormatting>
  <conditionalFormatting sqref="C80">
    <cfRule type="expression" dxfId="154" priority="112">
      <formula>(HEX2DEC(C80)=(HEX2DEC(A80)+1))</formula>
    </cfRule>
  </conditionalFormatting>
  <conditionalFormatting sqref="C87">
    <cfRule type="expression" dxfId="153" priority="106">
      <formula>$A$87</formula>
    </cfRule>
  </conditionalFormatting>
  <conditionalFormatting sqref="C89">
    <cfRule type="expression" dxfId="152" priority="107">
      <formula>(HEX2DEC(C89)=HEX2DEC(A89))</formula>
    </cfRule>
  </conditionalFormatting>
  <conditionalFormatting sqref="C90">
    <cfRule type="expression" dxfId="151" priority="108">
      <formula>(HEX2DEC(C90)=(HEX2DEC(A90)+1))</formula>
    </cfRule>
  </conditionalFormatting>
  <conditionalFormatting sqref="C97">
    <cfRule type="expression" dxfId="150" priority="102">
      <formula>$A$97</formula>
    </cfRule>
  </conditionalFormatting>
  <conditionalFormatting sqref="C99">
    <cfRule type="expression" dxfId="149" priority="103">
      <formula>(HEX2DEC(C99)=HEX2DEC(A99))</formula>
    </cfRule>
  </conditionalFormatting>
  <conditionalFormatting sqref="C100">
    <cfRule type="expression" dxfId="148" priority="104">
      <formula>(HEX2DEC(C100)=(HEX2DEC(A100)+1))</formula>
    </cfRule>
  </conditionalFormatting>
  <conditionalFormatting sqref="C107">
    <cfRule type="expression" dxfId="147" priority="98">
      <formula>$A$107</formula>
    </cfRule>
  </conditionalFormatting>
  <conditionalFormatting sqref="C109">
    <cfRule type="expression" dxfId="146" priority="99">
      <formula>(HEX2DEC(C109)=HEX2DEC(A109))</formula>
    </cfRule>
  </conditionalFormatting>
  <conditionalFormatting sqref="C110">
    <cfRule type="expression" dxfId="145" priority="100">
      <formula>(HEX2DEC(C110)=(HEX2DEC(A110)+1))</formula>
    </cfRule>
  </conditionalFormatting>
  <conditionalFormatting sqref="C117">
    <cfRule type="expression" dxfId="144" priority="94">
      <formula>$A$117</formula>
    </cfRule>
  </conditionalFormatting>
  <conditionalFormatting sqref="C119">
    <cfRule type="expression" dxfId="143" priority="95">
      <formula>(HEX2DEC(C119)=HEX2DEC(A119))</formula>
    </cfRule>
  </conditionalFormatting>
  <conditionalFormatting sqref="C120">
    <cfRule type="expression" dxfId="142" priority="96">
      <formula>(HEX2DEC(C120)=(HEX2DEC(A120)+1))</formula>
    </cfRule>
  </conditionalFormatting>
  <conditionalFormatting sqref="C127">
    <cfRule type="expression" dxfId="141" priority="90">
      <formula>$A$127</formula>
    </cfRule>
  </conditionalFormatting>
  <conditionalFormatting sqref="C129">
    <cfRule type="expression" dxfId="140" priority="91">
      <formula>(HEX2DEC(C129)=HEX2DEC(A129))</formula>
    </cfRule>
  </conditionalFormatting>
  <conditionalFormatting sqref="C130">
    <cfRule type="expression" dxfId="139" priority="92">
      <formula>(HEX2DEC(C130)=(HEX2DEC(A130)+1))</formula>
    </cfRule>
  </conditionalFormatting>
  <conditionalFormatting sqref="C137">
    <cfRule type="expression" dxfId="138" priority="86">
      <formula>$A$137</formula>
    </cfRule>
  </conditionalFormatting>
  <conditionalFormatting sqref="C139">
    <cfRule type="expression" dxfId="137" priority="87">
      <formula>(HEX2DEC(C139)=HEX2DEC(A139))</formula>
    </cfRule>
  </conditionalFormatting>
  <conditionalFormatting sqref="C140">
    <cfRule type="expression" dxfId="136" priority="88">
      <formula>(HEX2DEC(C140)=(HEX2DEC(A140)+1))</formula>
    </cfRule>
  </conditionalFormatting>
  <conditionalFormatting sqref="C147">
    <cfRule type="expression" dxfId="135" priority="82">
      <formula>$A$147</formula>
    </cfRule>
  </conditionalFormatting>
  <conditionalFormatting sqref="C149">
    <cfRule type="expression" dxfId="134" priority="83">
      <formula>(HEX2DEC(C149)=HEX2DEC(A149))</formula>
    </cfRule>
  </conditionalFormatting>
  <conditionalFormatting sqref="C150">
    <cfRule type="expression" dxfId="133" priority="84">
      <formula>(HEX2DEC(C150)=(HEX2DEC(A150)+1))</formula>
    </cfRule>
  </conditionalFormatting>
  <conditionalFormatting sqref="C157">
    <cfRule type="expression" dxfId="132" priority="78">
      <formula>$A$157</formula>
    </cfRule>
  </conditionalFormatting>
  <conditionalFormatting sqref="C159">
    <cfRule type="expression" dxfId="131" priority="79">
      <formula>(HEX2DEC(C159)=HEX2DEC(A159))</formula>
    </cfRule>
  </conditionalFormatting>
  <conditionalFormatting sqref="C160">
    <cfRule type="expression" dxfId="130" priority="80">
      <formula>(HEX2DEC(C160)=(HEX2DEC(A160)+1))</formula>
    </cfRule>
  </conditionalFormatting>
  <conditionalFormatting sqref="C168">
    <cfRule type="expression" dxfId="129" priority="9">
      <formula>$A$168</formula>
    </cfRule>
  </conditionalFormatting>
  <conditionalFormatting sqref="C178">
    <cfRule type="expression" dxfId="128" priority="8">
      <formula>$A$178</formula>
    </cfRule>
  </conditionalFormatting>
  <conditionalFormatting sqref="C188">
    <cfRule type="expression" dxfId="127" priority="6">
      <formula>$A$188</formula>
    </cfRule>
  </conditionalFormatting>
  <conditionalFormatting sqref="C198">
    <cfRule type="expression" dxfId="126" priority="5">
      <formula>$A$198</formula>
    </cfRule>
  </conditionalFormatting>
  <conditionalFormatting sqref="C208">
    <cfRule type="expression" dxfId="125" priority="4">
      <formula>$A$208</formula>
    </cfRule>
  </conditionalFormatting>
  <conditionalFormatting sqref="C218">
    <cfRule type="expression" dxfId="124" priority="3">
      <formula>$A$218</formula>
    </cfRule>
  </conditionalFormatting>
  <conditionalFormatting sqref="C228">
    <cfRule type="expression" dxfId="123" priority="2">
      <formula>$A$228</formula>
    </cfRule>
  </conditionalFormatting>
  <conditionalFormatting sqref="C238">
    <cfRule type="expression" dxfId="122" priority="1">
      <formula>$A$238</formula>
    </cfRule>
  </conditionalFormatting>
  <conditionalFormatting sqref="D9:E12">
    <cfRule type="expression" dxfId="121" priority="234">
      <formula>$A$7</formula>
    </cfRule>
  </conditionalFormatting>
  <conditionalFormatting sqref="D19:E22">
    <cfRule type="expression" dxfId="120" priority="149">
      <formula>$A$17</formula>
    </cfRule>
  </conditionalFormatting>
  <conditionalFormatting sqref="D29:E32">
    <cfRule type="expression" dxfId="119" priority="144">
      <formula>$A$27</formula>
    </cfRule>
  </conditionalFormatting>
  <conditionalFormatting sqref="D39:E42">
    <cfRule type="expression" dxfId="118" priority="135">
      <formula>$A$37</formula>
    </cfRule>
  </conditionalFormatting>
  <conditionalFormatting sqref="D49:E52">
    <cfRule type="expression" dxfId="117" priority="126">
      <formula>$A$47</formula>
    </cfRule>
  </conditionalFormatting>
  <conditionalFormatting sqref="D59:E62">
    <cfRule type="expression" dxfId="116" priority="121">
      <formula>$A$57</formula>
    </cfRule>
  </conditionalFormatting>
  <conditionalFormatting sqref="D69:E72">
    <cfRule type="expression" dxfId="115" priority="117">
      <formula>$A$67</formula>
    </cfRule>
  </conditionalFormatting>
  <conditionalFormatting sqref="D79:E82">
    <cfRule type="expression" dxfId="114" priority="113">
      <formula>$A$77</formula>
    </cfRule>
  </conditionalFormatting>
  <conditionalFormatting sqref="D89:E92">
    <cfRule type="expression" dxfId="113" priority="24">
      <formula>$A$87</formula>
    </cfRule>
  </conditionalFormatting>
  <conditionalFormatting sqref="D99:E102">
    <cfRule type="expression" dxfId="112" priority="22">
      <formula>$A$97</formula>
    </cfRule>
  </conditionalFormatting>
  <conditionalFormatting sqref="D109:E112">
    <cfRule type="expression" dxfId="111" priority="20">
      <formula>$A$107</formula>
    </cfRule>
  </conditionalFormatting>
  <conditionalFormatting sqref="D119:E122">
    <cfRule type="expression" dxfId="110" priority="18">
      <formula>$A$117</formula>
    </cfRule>
  </conditionalFormatting>
  <conditionalFormatting sqref="D129:E132">
    <cfRule type="expression" dxfId="109" priority="16">
      <formula>$A$127</formula>
    </cfRule>
  </conditionalFormatting>
  <conditionalFormatting sqref="D139:E142">
    <cfRule type="expression" dxfId="108" priority="14">
      <formula>$A$137</formula>
    </cfRule>
  </conditionalFormatting>
  <conditionalFormatting sqref="D149:E152">
    <cfRule type="expression" dxfId="107" priority="12">
      <formula>$A$147</formula>
    </cfRule>
  </conditionalFormatting>
  <conditionalFormatting sqref="D159:E162">
    <cfRule type="expression" dxfId="106" priority="10">
      <formula>$A$157</formula>
    </cfRule>
  </conditionalFormatting>
  <hyperlinks>
    <hyperlink ref="C1" r:id="rId1" xr:uid="{219F6B0F-B79A-4F11-BA43-7822FC24657E}"/>
  </hyperlinks>
  <pageMargins left="0.7" right="0.7" top="0.78740157499999996" bottom="0.78740157499999996" header="0.3" footer="0.3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47" r:id="rId5" name="Drop Down 499">
              <controlPr defaultSize="0" autoLine="0" autoPict="0">
                <anchor moveWithCells="1">
                  <from>
                    <xdr:col>2</xdr:col>
                    <xdr:colOff>0</xdr:colOff>
                    <xdr:row>183</xdr:row>
                    <xdr:rowOff>19050</xdr:rowOff>
                  </from>
                  <to>
                    <xdr:col>2</xdr:col>
                    <xdr:colOff>1276350</xdr:colOff>
                    <xdr:row>183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42" r:id="rId6" name="Drop Down 494">
              <controlPr defaultSize="0" autoLine="0" autoPict="0">
                <anchor moveWithCells="1">
                  <from>
                    <xdr:col>2</xdr:col>
                    <xdr:colOff>0</xdr:colOff>
                    <xdr:row>180</xdr:row>
                    <xdr:rowOff>19050</xdr:rowOff>
                  </from>
                  <to>
                    <xdr:col>2</xdr:col>
                    <xdr:colOff>1266825</xdr:colOff>
                    <xdr:row>180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1" r:id="rId7" name="Drop Down 503">
              <controlPr defaultSize="0" autoLine="0" autoPict="0">
                <anchor moveWithCells="1">
                  <from>
                    <xdr:col>2</xdr:col>
                    <xdr:colOff>0</xdr:colOff>
                    <xdr:row>179</xdr:row>
                    <xdr:rowOff>28575</xdr:rowOff>
                  </from>
                  <to>
                    <xdr:col>2</xdr:col>
                    <xdr:colOff>1276350</xdr:colOff>
                    <xdr:row>179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6" r:id="rId8" name="Drop Down 508">
              <controlPr defaultSize="0" autoLine="0" autoPict="0">
                <anchor moveWithCells="1">
                  <from>
                    <xdr:col>2</xdr:col>
                    <xdr:colOff>0</xdr:colOff>
                    <xdr:row>173</xdr:row>
                    <xdr:rowOff>19050</xdr:rowOff>
                  </from>
                  <to>
                    <xdr:col>2</xdr:col>
                    <xdr:colOff>1247775</xdr:colOff>
                    <xdr:row>173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3" r:id="rId9" name="Drop Down 505">
              <controlPr defaultSize="0" autoLine="0" autoPict="0">
                <anchor moveWithCells="1">
                  <from>
                    <xdr:col>2</xdr:col>
                    <xdr:colOff>0</xdr:colOff>
                    <xdr:row>170</xdr:row>
                    <xdr:rowOff>28575</xdr:rowOff>
                  </from>
                  <to>
                    <xdr:col>2</xdr:col>
                    <xdr:colOff>1238250</xdr:colOff>
                    <xdr:row>170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9" r:id="rId10" name="Drop Down 511">
              <controlPr defaultSize="0" autoLine="0" autoPict="0">
                <anchor moveWithCells="1">
                  <from>
                    <xdr:col>2</xdr:col>
                    <xdr:colOff>0</xdr:colOff>
                    <xdr:row>169</xdr:row>
                    <xdr:rowOff>19050</xdr:rowOff>
                  </from>
                  <to>
                    <xdr:col>2</xdr:col>
                    <xdr:colOff>1238250</xdr:colOff>
                    <xdr:row>169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9" r:id="rId11" name="Check Box 1">
              <controlPr defaultSize="0" autoFill="0" autoLine="0" autoPict="0">
                <anchor moveWithCells="1">
                  <from>
                    <xdr:col>2</xdr:col>
                    <xdr:colOff>9525</xdr:colOff>
                    <xdr:row>2</xdr:row>
                    <xdr:rowOff>9525</xdr:rowOff>
                  </from>
                  <to>
                    <xdr:col>2</xdr:col>
                    <xdr:colOff>1771650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12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2</xdr:col>
                    <xdr:colOff>1952625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13" name="Check Box 3">
              <controlPr defaultSize="0" autoFill="0" autoLine="0" autoPict="0">
                <anchor moveWithCells="1">
                  <from>
                    <xdr:col>2</xdr:col>
                    <xdr:colOff>0</xdr:colOff>
                    <xdr:row>4</xdr:row>
                    <xdr:rowOff>9525</xdr:rowOff>
                  </from>
                  <to>
                    <xdr:col>2</xdr:col>
                    <xdr:colOff>1943100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14" name="Check Box 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</xdr:row>
                    <xdr:rowOff>9525</xdr:rowOff>
                  </from>
                  <to>
                    <xdr:col>2</xdr:col>
                    <xdr:colOff>1771650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15" name="Check Box 5">
              <controlPr defaultSize="0" autoFill="0" autoLine="0" autoPict="0">
                <anchor moveWithCells="1">
                  <from>
                    <xdr:col>2</xdr:col>
                    <xdr:colOff>9525</xdr:colOff>
                    <xdr:row>7</xdr:row>
                    <xdr:rowOff>19050</xdr:rowOff>
                  </from>
                  <to>
                    <xdr:col>2</xdr:col>
                    <xdr:colOff>1581150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6" name="Drop Down 19">
              <controlPr defaultSize="0" autoLine="0" autoPict="0">
                <anchor moveWithCells="1">
                  <from>
                    <xdr:col>2</xdr:col>
                    <xdr:colOff>19050</xdr:colOff>
                    <xdr:row>10</xdr:row>
                    <xdr:rowOff>9525</xdr:rowOff>
                  </from>
                  <to>
                    <xdr:col>2</xdr:col>
                    <xdr:colOff>1171575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17" name="Check Box 20">
              <controlPr defaultSize="0" autoFill="0" autoLine="0" autoPict="0">
                <anchor moveWithCells="1">
                  <from>
                    <xdr:col>2</xdr:col>
                    <xdr:colOff>19050</xdr:colOff>
                    <xdr:row>11</xdr:row>
                    <xdr:rowOff>28575</xdr:rowOff>
                  </from>
                  <to>
                    <xdr:col>2</xdr:col>
                    <xdr:colOff>1590675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8" name="Drop Down 22">
              <controlPr defaultSize="0" autoLine="0" autoPict="0">
                <anchor moveWithCells="1">
                  <from>
                    <xdr:col>1</xdr:col>
                    <xdr:colOff>2152650</xdr:colOff>
                    <xdr:row>14</xdr:row>
                    <xdr:rowOff>28575</xdr:rowOff>
                  </from>
                  <to>
                    <xdr:col>2</xdr:col>
                    <xdr:colOff>1200150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19" name="Check Box 17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20" name="Drop Down 17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5" r:id="rId21" name="Drop Down 18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6" r:id="rId22" name="Check Box 18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7" r:id="rId23" name="Check Box 18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0" r:id="rId24" name="Check Box 19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1" r:id="rId25" name="Drop Down 19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0" r:id="rId26" name="Drop Down 20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27" name="Check Box 20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28" name="Check Box 20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" r:id="rId29" name="Check Box 20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" r:id="rId30" name="Drop Down 20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5" r:id="rId31" name="Drop Down 21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6" r:id="rId32" name="Check Box 2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7" r:id="rId33" name="Check Box 21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0" r:id="rId34" name="Check Box 22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1" r:id="rId35" name="Drop Down 22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0" r:id="rId36" name="Drop Down 23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37" name="Check Box 23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38" name="Check Box 23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39" name="Check Box 23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40" name="Drop Down 23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5" r:id="rId41" name="Drop Down 24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6" r:id="rId42" name="Check Box 24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7" r:id="rId43" name="Check Box 24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0" r:id="rId44" name="Check Box 25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1" r:id="rId45" name="Drop Down 25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0" r:id="rId46" name="Drop Down 26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1" r:id="rId47" name="Check Box 26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2" r:id="rId48" name="Check Box 26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6" r:id="rId49" name="Check Box 348">
              <controlPr defaultSize="0" autoFill="0" autoLine="0" autoPict="0">
                <anchor moveWithCells="1">
                  <from>
                    <xdr:col>2</xdr:col>
                    <xdr:colOff>19050</xdr:colOff>
                    <xdr:row>12</xdr:row>
                    <xdr:rowOff>28575</xdr:rowOff>
                  </from>
                  <to>
                    <xdr:col>2</xdr:col>
                    <xdr:colOff>1590675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05" r:id="rId50" name="Check Box 35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16</xdr:row>
                    <xdr:rowOff>9525</xdr:rowOff>
                  </from>
                  <to>
                    <xdr:col>2</xdr:col>
                    <xdr:colOff>1771650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06" r:id="rId51" name="Check Box 358">
              <controlPr defaultSize="0" autoFill="0" autoLine="0" autoPict="0">
                <anchor moveWithCells="1">
                  <from>
                    <xdr:col>2</xdr:col>
                    <xdr:colOff>9525</xdr:colOff>
                    <xdr:row>17</xdr:row>
                    <xdr:rowOff>19050</xdr:rowOff>
                  </from>
                  <to>
                    <xdr:col>2</xdr:col>
                    <xdr:colOff>1581150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07" r:id="rId52" name="Drop Down 359">
              <controlPr defaultSize="0" autoLine="0" autoPict="0">
                <anchor moveWithCells="1">
                  <from>
                    <xdr:col>2</xdr:col>
                    <xdr:colOff>19050</xdr:colOff>
                    <xdr:row>20</xdr:row>
                    <xdr:rowOff>9525</xdr:rowOff>
                  </from>
                  <to>
                    <xdr:col>2</xdr:col>
                    <xdr:colOff>1171575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08" r:id="rId53" name="Check Box 360">
              <controlPr defaultSize="0" autoFill="0" autoLine="0" autoPict="0">
                <anchor moveWithCells="1">
                  <from>
                    <xdr:col>2</xdr:col>
                    <xdr:colOff>19050</xdr:colOff>
                    <xdr:row>21</xdr:row>
                    <xdr:rowOff>28575</xdr:rowOff>
                  </from>
                  <to>
                    <xdr:col>2</xdr:col>
                    <xdr:colOff>1590675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09" r:id="rId54" name="Drop Down 361">
              <controlPr defaultSize="0" autoLine="0" autoPict="0">
                <anchor moveWithCells="1">
                  <from>
                    <xdr:col>1</xdr:col>
                    <xdr:colOff>2152650</xdr:colOff>
                    <xdr:row>24</xdr:row>
                    <xdr:rowOff>28575</xdr:rowOff>
                  </from>
                  <to>
                    <xdr:col>2</xdr:col>
                    <xdr:colOff>1200150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0" r:id="rId55" name="Check Box 362">
              <controlPr defaultSize="0" autoFill="0" autoLine="0" autoPict="0">
                <anchor moveWithCells="1">
                  <from>
                    <xdr:col>2</xdr:col>
                    <xdr:colOff>19050</xdr:colOff>
                    <xdr:row>22</xdr:row>
                    <xdr:rowOff>28575</xdr:rowOff>
                  </from>
                  <to>
                    <xdr:col>2</xdr:col>
                    <xdr:colOff>1590675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2" r:id="rId56" name="Drop Down 364">
              <controlPr defaultSize="0" autoLine="0" autoPict="0">
                <anchor moveWithCells="1">
                  <from>
                    <xdr:col>2</xdr:col>
                    <xdr:colOff>0</xdr:colOff>
                    <xdr:row>23</xdr:row>
                    <xdr:rowOff>28575</xdr:rowOff>
                  </from>
                  <to>
                    <xdr:col>2</xdr:col>
                    <xdr:colOff>1200150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3" r:id="rId57" name="Drop Down 365">
              <controlPr defaultSize="0" autoLine="0" autoPict="0">
                <anchor moveWithCells="1">
                  <from>
                    <xdr:col>2</xdr:col>
                    <xdr:colOff>0</xdr:colOff>
                    <xdr:row>13</xdr:row>
                    <xdr:rowOff>28575</xdr:rowOff>
                  </from>
                  <to>
                    <xdr:col>2</xdr:col>
                    <xdr:colOff>1200150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4" r:id="rId58" name="Check Box 366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26</xdr:row>
                    <xdr:rowOff>9525</xdr:rowOff>
                  </from>
                  <to>
                    <xdr:col>2</xdr:col>
                    <xdr:colOff>1771650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5" r:id="rId59" name="Check Box 367">
              <controlPr defaultSize="0" autoFill="0" autoLine="0" autoPict="0">
                <anchor moveWithCells="1">
                  <from>
                    <xdr:col>2</xdr:col>
                    <xdr:colOff>9525</xdr:colOff>
                    <xdr:row>27</xdr:row>
                    <xdr:rowOff>19050</xdr:rowOff>
                  </from>
                  <to>
                    <xdr:col>2</xdr:col>
                    <xdr:colOff>1581150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6" r:id="rId60" name="Drop Down 368">
              <controlPr defaultSize="0" autoLine="0" autoPict="0">
                <anchor moveWithCells="1">
                  <from>
                    <xdr:col>2</xdr:col>
                    <xdr:colOff>19050</xdr:colOff>
                    <xdr:row>30</xdr:row>
                    <xdr:rowOff>9525</xdr:rowOff>
                  </from>
                  <to>
                    <xdr:col>2</xdr:col>
                    <xdr:colOff>1171575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7" r:id="rId61" name="Check Box 369">
              <controlPr defaultSize="0" autoFill="0" autoLine="0" autoPict="0">
                <anchor moveWithCells="1">
                  <from>
                    <xdr:col>2</xdr:col>
                    <xdr:colOff>19050</xdr:colOff>
                    <xdr:row>31</xdr:row>
                    <xdr:rowOff>28575</xdr:rowOff>
                  </from>
                  <to>
                    <xdr:col>2</xdr:col>
                    <xdr:colOff>1590675</xdr:colOff>
                    <xdr:row>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8" r:id="rId62" name="Drop Down 370">
              <controlPr defaultSize="0" autoLine="0" autoPict="0">
                <anchor moveWithCells="1">
                  <from>
                    <xdr:col>1</xdr:col>
                    <xdr:colOff>2152650</xdr:colOff>
                    <xdr:row>34</xdr:row>
                    <xdr:rowOff>28575</xdr:rowOff>
                  </from>
                  <to>
                    <xdr:col>2</xdr:col>
                    <xdr:colOff>1200150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19" r:id="rId63" name="Check Box 371">
              <controlPr defaultSize="0" autoFill="0" autoLine="0" autoPict="0">
                <anchor moveWithCells="1">
                  <from>
                    <xdr:col>2</xdr:col>
                    <xdr:colOff>19050</xdr:colOff>
                    <xdr:row>32</xdr:row>
                    <xdr:rowOff>28575</xdr:rowOff>
                  </from>
                  <to>
                    <xdr:col>2</xdr:col>
                    <xdr:colOff>1590675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21" r:id="rId64" name="Drop Down 373">
              <controlPr defaultSize="0" autoLine="0" autoPict="0">
                <anchor moveWithCells="1">
                  <from>
                    <xdr:col>2</xdr:col>
                    <xdr:colOff>0</xdr:colOff>
                    <xdr:row>33</xdr:row>
                    <xdr:rowOff>28575</xdr:rowOff>
                  </from>
                  <to>
                    <xdr:col>2</xdr:col>
                    <xdr:colOff>1200150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29" r:id="rId65" name="Check Box 381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36</xdr:row>
                    <xdr:rowOff>9525</xdr:rowOff>
                  </from>
                  <to>
                    <xdr:col>2</xdr:col>
                    <xdr:colOff>1771650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0" r:id="rId66" name="Check Box 382">
              <controlPr defaultSize="0" autoFill="0" autoLine="0" autoPict="0">
                <anchor moveWithCells="1">
                  <from>
                    <xdr:col>2</xdr:col>
                    <xdr:colOff>9525</xdr:colOff>
                    <xdr:row>37</xdr:row>
                    <xdr:rowOff>19050</xdr:rowOff>
                  </from>
                  <to>
                    <xdr:col>2</xdr:col>
                    <xdr:colOff>1581150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1" r:id="rId67" name="Drop Down 383">
              <controlPr defaultSize="0" autoLine="0" autoPict="0">
                <anchor moveWithCells="1">
                  <from>
                    <xdr:col>2</xdr:col>
                    <xdr:colOff>19050</xdr:colOff>
                    <xdr:row>40</xdr:row>
                    <xdr:rowOff>9525</xdr:rowOff>
                  </from>
                  <to>
                    <xdr:col>2</xdr:col>
                    <xdr:colOff>1171575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2" r:id="rId68" name="Check Box 384">
              <controlPr defaultSize="0" autoFill="0" autoLine="0" autoPict="0">
                <anchor moveWithCells="1">
                  <from>
                    <xdr:col>2</xdr:col>
                    <xdr:colOff>19050</xdr:colOff>
                    <xdr:row>41</xdr:row>
                    <xdr:rowOff>28575</xdr:rowOff>
                  </from>
                  <to>
                    <xdr:col>2</xdr:col>
                    <xdr:colOff>1590675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3" r:id="rId69" name="Drop Down 385">
              <controlPr defaultSize="0" autoLine="0" autoPict="0">
                <anchor moveWithCells="1">
                  <from>
                    <xdr:col>1</xdr:col>
                    <xdr:colOff>2152650</xdr:colOff>
                    <xdr:row>44</xdr:row>
                    <xdr:rowOff>28575</xdr:rowOff>
                  </from>
                  <to>
                    <xdr:col>2</xdr:col>
                    <xdr:colOff>1200150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4" r:id="rId70" name="Check Box 386">
              <controlPr defaultSize="0" autoFill="0" autoLine="0" autoPict="0">
                <anchor moveWithCells="1">
                  <from>
                    <xdr:col>2</xdr:col>
                    <xdr:colOff>19050</xdr:colOff>
                    <xdr:row>42</xdr:row>
                    <xdr:rowOff>28575</xdr:rowOff>
                  </from>
                  <to>
                    <xdr:col>2</xdr:col>
                    <xdr:colOff>1590675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5" r:id="rId71" name="Drop Down 387">
              <controlPr defaultSize="0" autoLine="0" autoPict="0">
                <anchor moveWithCells="1">
                  <from>
                    <xdr:col>2</xdr:col>
                    <xdr:colOff>0</xdr:colOff>
                    <xdr:row>43</xdr:row>
                    <xdr:rowOff>28575</xdr:rowOff>
                  </from>
                  <to>
                    <xdr:col>2</xdr:col>
                    <xdr:colOff>1200150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6" r:id="rId72" name="Check Box 38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46</xdr:row>
                    <xdr:rowOff>9525</xdr:rowOff>
                  </from>
                  <to>
                    <xdr:col>2</xdr:col>
                    <xdr:colOff>1771650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7" r:id="rId73" name="Check Box 389">
              <controlPr defaultSize="0" autoFill="0" autoLine="0" autoPict="0">
                <anchor moveWithCells="1">
                  <from>
                    <xdr:col>2</xdr:col>
                    <xdr:colOff>9525</xdr:colOff>
                    <xdr:row>47</xdr:row>
                    <xdr:rowOff>19050</xdr:rowOff>
                  </from>
                  <to>
                    <xdr:col>2</xdr:col>
                    <xdr:colOff>1581150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8" r:id="rId74" name="Drop Down 390">
              <controlPr defaultSize="0" autoLine="0" autoPict="0">
                <anchor moveWithCells="1">
                  <from>
                    <xdr:col>2</xdr:col>
                    <xdr:colOff>19050</xdr:colOff>
                    <xdr:row>50</xdr:row>
                    <xdr:rowOff>9525</xdr:rowOff>
                  </from>
                  <to>
                    <xdr:col>2</xdr:col>
                    <xdr:colOff>1171575</xdr:colOff>
                    <xdr:row>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39" r:id="rId75" name="Check Box 391">
              <controlPr defaultSize="0" autoFill="0" autoLine="0" autoPict="0">
                <anchor moveWithCells="1">
                  <from>
                    <xdr:col>2</xdr:col>
                    <xdr:colOff>19050</xdr:colOff>
                    <xdr:row>51</xdr:row>
                    <xdr:rowOff>28575</xdr:rowOff>
                  </from>
                  <to>
                    <xdr:col>2</xdr:col>
                    <xdr:colOff>1590675</xdr:colOff>
                    <xdr:row>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0" r:id="rId76" name="Drop Down 392">
              <controlPr defaultSize="0" autoLine="0" autoPict="0">
                <anchor moveWithCells="1">
                  <from>
                    <xdr:col>1</xdr:col>
                    <xdr:colOff>2152650</xdr:colOff>
                    <xdr:row>54</xdr:row>
                    <xdr:rowOff>28575</xdr:rowOff>
                  </from>
                  <to>
                    <xdr:col>2</xdr:col>
                    <xdr:colOff>1200150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1" r:id="rId77" name="Check Box 393">
              <controlPr defaultSize="0" autoFill="0" autoLine="0" autoPict="0">
                <anchor moveWithCells="1">
                  <from>
                    <xdr:col>2</xdr:col>
                    <xdr:colOff>19050</xdr:colOff>
                    <xdr:row>52</xdr:row>
                    <xdr:rowOff>28575</xdr:rowOff>
                  </from>
                  <to>
                    <xdr:col>2</xdr:col>
                    <xdr:colOff>1590675</xdr:colOff>
                    <xdr:row>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2" r:id="rId78" name="Drop Down 394">
              <controlPr defaultSize="0" autoLine="0" autoPict="0">
                <anchor moveWithCells="1">
                  <from>
                    <xdr:col>2</xdr:col>
                    <xdr:colOff>0</xdr:colOff>
                    <xdr:row>53</xdr:row>
                    <xdr:rowOff>28575</xdr:rowOff>
                  </from>
                  <to>
                    <xdr:col>2</xdr:col>
                    <xdr:colOff>1200150</xdr:colOff>
                    <xdr:row>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3" r:id="rId79" name="Check Box 39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56</xdr:row>
                    <xdr:rowOff>9525</xdr:rowOff>
                  </from>
                  <to>
                    <xdr:col>2</xdr:col>
                    <xdr:colOff>1771650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4" r:id="rId80" name="Check Box 396">
              <controlPr defaultSize="0" autoFill="0" autoLine="0" autoPict="0">
                <anchor moveWithCells="1">
                  <from>
                    <xdr:col>2</xdr:col>
                    <xdr:colOff>9525</xdr:colOff>
                    <xdr:row>57</xdr:row>
                    <xdr:rowOff>19050</xdr:rowOff>
                  </from>
                  <to>
                    <xdr:col>2</xdr:col>
                    <xdr:colOff>1581150</xdr:colOff>
                    <xdr:row>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5" r:id="rId81" name="Drop Down 397">
              <controlPr defaultSize="0" autoLine="0" autoPict="0">
                <anchor moveWithCells="1">
                  <from>
                    <xdr:col>2</xdr:col>
                    <xdr:colOff>19050</xdr:colOff>
                    <xdr:row>60</xdr:row>
                    <xdr:rowOff>9525</xdr:rowOff>
                  </from>
                  <to>
                    <xdr:col>2</xdr:col>
                    <xdr:colOff>1171575</xdr:colOff>
                    <xdr:row>60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6" r:id="rId82" name="Check Box 398">
              <controlPr defaultSize="0" autoFill="0" autoLine="0" autoPict="0">
                <anchor moveWithCells="1">
                  <from>
                    <xdr:col>2</xdr:col>
                    <xdr:colOff>19050</xdr:colOff>
                    <xdr:row>61</xdr:row>
                    <xdr:rowOff>28575</xdr:rowOff>
                  </from>
                  <to>
                    <xdr:col>2</xdr:col>
                    <xdr:colOff>1590675</xdr:colOff>
                    <xdr:row>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7" r:id="rId83" name="Drop Down 399">
              <controlPr defaultSize="0" autoLine="0" autoPict="0">
                <anchor moveWithCells="1">
                  <from>
                    <xdr:col>1</xdr:col>
                    <xdr:colOff>2152650</xdr:colOff>
                    <xdr:row>64</xdr:row>
                    <xdr:rowOff>28575</xdr:rowOff>
                  </from>
                  <to>
                    <xdr:col>2</xdr:col>
                    <xdr:colOff>1200150</xdr:colOff>
                    <xdr:row>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8" r:id="rId84" name="Check Box 400">
              <controlPr defaultSize="0" autoFill="0" autoLine="0" autoPict="0">
                <anchor moveWithCells="1">
                  <from>
                    <xdr:col>2</xdr:col>
                    <xdr:colOff>19050</xdr:colOff>
                    <xdr:row>62</xdr:row>
                    <xdr:rowOff>28575</xdr:rowOff>
                  </from>
                  <to>
                    <xdr:col>2</xdr:col>
                    <xdr:colOff>1590675</xdr:colOff>
                    <xdr:row>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49" r:id="rId85" name="Drop Down 401">
              <controlPr defaultSize="0" autoLine="0" autoPict="0">
                <anchor moveWithCells="1">
                  <from>
                    <xdr:col>2</xdr:col>
                    <xdr:colOff>0</xdr:colOff>
                    <xdr:row>63</xdr:row>
                    <xdr:rowOff>28575</xdr:rowOff>
                  </from>
                  <to>
                    <xdr:col>2</xdr:col>
                    <xdr:colOff>1200150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0" r:id="rId86" name="Check Box 402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66</xdr:row>
                    <xdr:rowOff>9525</xdr:rowOff>
                  </from>
                  <to>
                    <xdr:col>2</xdr:col>
                    <xdr:colOff>1771650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1" r:id="rId87" name="Check Box 403">
              <controlPr defaultSize="0" autoFill="0" autoLine="0" autoPict="0">
                <anchor moveWithCells="1">
                  <from>
                    <xdr:col>2</xdr:col>
                    <xdr:colOff>9525</xdr:colOff>
                    <xdr:row>67</xdr:row>
                    <xdr:rowOff>19050</xdr:rowOff>
                  </from>
                  <to>
                    <xdr:col>2</xdr:col>
                    <xdr:colOff>1581150</xdr:colOff>
                    <xdr:row>67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2" r:id="rId88" name="Drop Down 404">
              <controlPr defaultSize="0" autoLine="0" autoPict="0">
                <anchor moveWithCells="1">
                  <from>
                    <xdr:col>2</xdr:col>
                    <xdr:colOff>19050</xdr:colOff>
                    <xdr:row>70</xdr:row>
                    <xdr:rowOff>9525</xdr:rowOff>
                  </from>
                  <to>
                    <xdr:col>2</xdr:col>
                    <xdr:colOff>1171575</xdr:colOff>
                    <xdr:row>70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3" r:id="rId89" name="Check Box 405">
              <controlPr defaultSize="0" autoFill="0" autoLine="0" autoPict="0">
                <anchor moveWithCells="1">
                  <from>
                    <xdr:col>2</xdr:col>
                    <xdr:colOff>19050</xdr:colOff>
                    <xdr:row>71</xdr:row>
                    <xdr:rowOff>28575</xdr:rowOff>
                  </from>
                  <to>
                    <xdr:col>2</xdr:col>
                    <xdr:colOff>1590675</xdr:colOff>
                    <xdr:row>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4" r:id="rId90" name="Drop Down 406">
              <controlPr defaultSize="0" autoLine="0" autoPict="0">
                <anchor moveWithCells="1">
                  <from>
                    <xdr:col>1</xdr:col>
                    <xdr:colOff>2152650</xdr:colOff>
                    <xdr:row>74</xdr:row>
                    <xdr:rowOff>28575</xdr:rowOff>
                  </from>
                  <to>
                    <xdr:col>2</xdr:col>
                    <xdr:colOff>1200150</xdr:colOff>
                    <xdr:row>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5" r:id="rId91" name="Check Box 407">
              <controlPr defaultSize="0" autoFill="0" autoLine="0" autoPict="0">
                <anchor moveWithCells="1">
                  <from>
                    <xdr:col>2</xdr:col>
                    <xdr:colOff>19050</xdr:colOff>
                    <xdr:row>72</xdr:row>
                    <xdr:rowOff>28575</xdr:rowOff>
                  </from>
                  <to>
                    <xdr:col>2</xdr:col>
                    <xdr:colOff>1590675</xdr:colOff>
                    <xdr:row>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6" r:id="rId92" name="Drop Down 408">
              <controlPr defaultSize="0" autoLine="0" autoPict="0">
                <anchor moveWithCells="1">
                  <from>
                    <xdr:col>2</xdr:col>
                    <xdr:colOff>0</xdr:colOff>
                    <xdr:row>73</xdr:row>
                    <xdr:rowOff>28575</xdr:rowOff>
                  </from>
                  <to>
                    <xdr:col>2</xdr:col>
                    <xdr:colOff>1200150</xdr:colOff>
                    <xdr:row>73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7" r:id="rId93" name="Check Box 409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76</xdr:row>
                    <xdr:rowOff>9525</xdr:rowOff>
                  </from>
                  <to>
                    <xdr:col>2</xdr:col>
                    <xdr:colOff>1771650</xdr:colOff>
                    <xdr:row>76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" r:id="rId94" name="Check Box 410">
              <controlPr defaultSize="0" autoFill="0" autoLine="0" autoPict="0">
                <anchor moveWithCells="1">
                  <from>
                    <xdr:col>2</xdr:col>
                    <xdr:colOff>9525</xdr:colOff>
                    <xdr:row>77</xdr:row>
                    <xdr:rowOff>19050</xdr:rowOff>
                  </from>
                  <to>
                    <xdr:col>2</xdr:col>
                    <xdr:colOff>1581150</xdr:colOff>
                    <xdr:row>77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9" r:id="rId95" name="Drop Down 411">
              <controlPr defaultSize="0" autoLine="0" autoPict="0">
                <anchor moveWithCells="1">
                  <from>
                    <xdr:col>2</xdr:col>
                    <xdr:colOff>19050</xdr:colOff>
                    <xdr:row>80</xdr:row>
                    <xdr:rowOff>9525</xdr:rowOff>
                  </from>
                  <to>
                    <xdr:col>2</xdr:col>
                    <xdr:colOff>1171575</xdr:colOff>
                    <xdr:row>80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0" r:id="rId96" name="Check Box 412">
              <controlPr defaultSize="0" autoFill="0" autoLine="0" autoPict="0">
                <anchor moveWithCells="1">
                  <from>
                    <xdr:col>2</xdr:col>
                    <xdr:colOff>19050</xdr:colOff>
                    <xdr:row>81</xdr:row>
                    <xdr:rowOff>28575</xdr:rowOff>
                  </from>
                  <to>
                    <xdr:col>2</xdr:col>
                    <xdr:colOff>1590675</xdr:colOff>
                    <xdr:row>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1" r:id="rId97" name="Drop Down 413">
              <controlPr defaultSize="0" autoLine="0" autoPict="0">
                <anchor moveWithCells="1">
                  <from>
                    <xdr:col>1</xdr:col>
                    <xdr:colOff>2152650</xdr:colOff>
                    <xdr:row>84</xdr:row>
                    <xdr:rowOff>28575</xdr:rowOff>
                  </from>
                  <to>
                    <xdr:col>2</xdr:col>
                    <xdr:colOff>1200150</xdr:colOff>
                    <xdr:row>84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2" r:id="rId98" name="Check Box 414">
              <controlPr defaultSize="0" autoFill="0" autoLine="0" autoPict="0">
                <anchor moveWithCells="1">
                  <from>
                    <xdr:col>2</xdr:col>
                    <xdr:colOff>19050</xdr:colOff>
                    <xdr:row>82</xdr:row>
                    <xdr:rowOff>28575</xdr:rowOff>
                  </from>
                  <to>
                    <xdr:col>2</xdr:col>
                    <xdr:colOff>1590675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3" r:id="rId99" name="Drop Down 415">
              <controlPr defaultSize="0" autoLine="0" autoPict="0">
                <anchor moveWithCells="1">
                  <from>
                    <xdr:col>2</xdr:col>
                    <xdr:colOff>0</xdr:colOff>
                    <xdr:row>83</xdr:row>
                    <xdr:rowOff>28575</xdr:rowOff>
                  </from>
                  <to>
                    <xdr:col>2</xdr:col>
                    <xdr:colOff>1200150</xdr:colOff>
                    <xdr:row>83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4" r:id="rId100" name="Check Box 416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86</xdr:row>
                    <xdr:rowOff>9525</xdr:rowOff>
                  </from>
                  <to>
                    <xdr:col>2</xdr:col>
                    <xdr:colOff>1771650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5" r:id="rId101" name="Check Box 417">
              <controlPr defaultSize="0" autoFill="0" autoLine="0" autoPict="0">
                <anchor moveWithCells="1">
                  <from>
                    <xdr:col>2</xdr:col>
                    <xdr:colOff>9525</xdr:colOff>
                    <xdr:row>87</xdr:row>
                    <xdr:rowOff>19050</xdr:rowOff>
                  </from>
                  <to>
                    <xdr:col>2</xdr:col>
                    <xdr:colOff>1581150</xdr:colOff>
                    <xdr:row>87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6" r:id="rId102" name="Drop Down 418">
              <controlPr defaultSize="0" autoLine="0" autoPict="0">
                <anchor moveWithCells="1">
                  <from>
                    <xdr:col>2</xdr:col>
                    <xdr:colOff>19050</xdr:colOff>
                    <xdr:row>90</xdr:row>
                    <xdr:rowOff>9525</xdr:rowOff>
                  </from>
                  <to>
                    <xdr:col>2</xdr:col>
                    <xdr:colOff>1171575</xdr:colOff>
                    <xdr:row>90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7" r:id="rId103" name="Check Box 419">
              <controlPr defaultSize="0" autoFill="0" autoLine="0" autoPict="0">
                <anchor moveWithCells="1">
                  <from>
                    <xdr:col>2</xdr:col>
                    <xdr:colOff>19050</xdr:colOff>
                    <xdr:row>91</xdr:row>
                    <xdr:rowOff>28575</xdr:rowOff>
                  </from>
                  <to>
                    <xdr:col>2</xdr:col>
                    <xdr:colOff>1590675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8" r:id="rId104" name="Drop Down 420">
              <controlPr defaultSize="0" autoLine="0" autoPict="0">
                <anchor moveWithCells="1">
                  <from>
                    <xdr:col>1</xdr:col>
                    <xdr:colOff>2152650</xdr:colOff>
                    <xdr:row>94</xdr:row>
                    <xdr:rowOff>28575</xdr:rowOff>
                  </from>
                  <to>
                    <xdr:col>2</xdr:col>
                    <xdr:colOff>1200150</xdr:colOff>
                    <xdr:row>94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69" r:id="rId105" name="Check Box 421">
              <controlPr defaultSize="0" autoFill="0" autoLine="0" autoPict="0">
                <anchor moveWithCells="1">
                  <from>
                    <xdr:col>2</xdr:col>
                    <xdr:colOff>19050</xdr:colOff>
                    <xdr:row>92</xdr:row>
                    <xdr:rowOff>28575</xdr:rowOff>
                  </from>
                  <to>
                    <xdr:col>2</xdr:col>
                    <xdr:colOff>1590675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0" r:id="rId106" name="Drop Down 422">
              <controlPr defaultSize="0" autoLine="0" autoPict="0">
                <anchor moveWithCells="1">
                  <from>
                    <xdr:col>2</xdr:col>
                    <xdr:colOff>0</xdr:colOff>
                    <xdr:row>93</xdr:row>
                    <xdr:rowOff>28575</xdr:rowOff>
                  </from>
                  <to>
                    <xdr:col>2</xdr:col>
                    <xdr:colOff>1200150</xdr:colOff>
                    <xdr:row>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1" r:id="rId107" name="Check Box 423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96</xdr:row>
                    <xdr:rowOff>9525</xdr:rowOff>
                  </from>
                  <to>
                    <xdr:col>2</xdr:col>
                    <xdr:colOff>1771650</xdr:colOff>
                    <xdr:row>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2" r:id="rId108" name="Check Box 424">
              <controlPr defaultSize="0" autoFill="0" autoLine="0" autoPict="0">
                <anchor moveWithCells="1">
                  <from>
                    <xdr:col>2</xdr:col>
                    <xdr:colOff>9525</xdr:colOff>
                    <xdr:row>97</xdr:row>
                    <xdr:rowOff>19050</xdr:rowOff>
                  </from>
                  <to>
                    <xdr:col>2</xdr:col>
                    <xdr:colOff>1581150</xdr:colOff>
                    <xdr:row>97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3" r:id="rId109" name="Drop Down 425">
              <controlPr defaultSize="0" autoLine="0" autoPict="0">
                <anchor moveWithCells="1">
                  <from>
                    <xdr:col>2</xdr:col>
                    <xdr:colOff>19050</xdr:colOff>
                    <xdr:row>100</xdr:row>
                    <xdr:rowOff>9525</xdr:rowOff>
                  </from>
                  <to>
                    <xdr:col>2</xdr:col>
                    <xdr:colOff>1171575</xdr:colOff>
                    <xdr:row>100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4" r:id="rId110" name="Check Box 426">
              <controlPr defaultSize="0" autoFill="0" autoLine="0" autoPict="0">
                <anchor moveWithCells="1">
                  <from>
                    <xdr:col>2</xdr:col>
                    <xdr:colOff>19050</xdr:colOff>
                    <xdr:row>101</xdr:row>
                    <xdr:rowOff>28575</xdr:rowOff>
                  </from>
                  <to>
                    <xdr:col>2</xdr:col>
                    <xdr:colOff>1590675</xdr:colOff>
                    <xdr:row>101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5" r:id="rId111" name="Drop Down 427">
              <controlPr defaultSize="0" autoLine="0" autoPict="0">
                <anchor moveWithCells="1">
                  <from>
                    <xdr:col>1</xdr:col>
                    <xdr:colOff>2152650</xdr:colOff>
                    <xdr:row>104</xdr:row>
                    <xdr:rowOff>28575</xdr:rowOff>
                  </from>
                  <to>
                    <xdr:col>2</xdr:col>
                    <xdr:colOff>1200150</xdr:colOff>
                    <xdr:row>104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6" r:id="rId112" name="Check Box 428">
              <controlPr defaultSize="0" autoFill="0" autoLine="0" autoPict="0">
                <anchor moveWithCells="1">
                  <from>
                    <xdr:col>2</xdr:col>
                    <xdr:colOff>19050</xdr:colOff>
                    <xdr:row>102</xdr:row>
                    <xdr:rowOff>28575</xdr:rowOff>
                  </from>
                  <to>
                    <xdr:col>2</xdr:col>
                    <xdr:colOff>1590675</xdr:colOff>
                    <xdr:row>102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7" r:id="rId113" name="Drop Down 429">
              <controlPr defaultSize="0" autoLine="0" autoPict="0">
                <anchor moveWithCells="1">
                  <from>
                    <xdr:col>2</xdr:col>
                    <xdr:colOff>0</xdr:colOff>
                    <xdr:row>103</xdr:row>
                    <xdr:rowOff>28575</xdr:rowOff>
                  </from>
                  <to>
                    <xdr:col>2</xdr:col>
                    <xdr:colOff>1200150</xdr:colOff>
                    <xdr:row>103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" r:id="rId114" name="Check Box 430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106</xdr:row>
                    <xdr:rowOff>9525</xdr:rowOff>
                  </from>
                  <to>
                    <xdr:col>2</xdr:col>
                    <xdr:colOff>1771650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9" r:id="rId115" name="Check Box 431">
              <controlPr defaultSize="0" autoFill="0" autoLine="0" autoPict="0">
                <anchor moveWithCells="1">
                  <from>
                    <xdr:col>2</xdr:col>
                    <xdr:colOff>9525</xdr:colOff>
                    <xdr:row>107</xdr:row>
                    <xdr:rowOff>19050</xdr:rowOff>
                  </from>
                  <to>
                    <xdr:col>2</xdr:col>
                    <xdr:colOff>1581150</xdr:colOff>
                    <xdr:row>107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0" r:id="rId116" name="Drop Down 432">
              <controlPr defaultSize="0" autoLine="0" autoPict="0">
                <anchor moveWithCells="1">
                  <from>
                    <xdr:col>2</xdr:col>
                    <xdr:colOff>19050</xdr:colOff>
                    <xdr:row>110</xdr:row>
                    <xdr:rowOff>9525</xdr:rowOff>
                  </from>
                  <to>
                    <xdr:col>2</xdr:col>
                    <xdr:colOff>1171575</xdr:colOff>
                    <xdr:row>110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1" r:id="rId117" name="Check Box 433">
              <controlPr defaultSize="0" autoFill="0" autoLine="0" autoPict="0">
                <anchor moveWithCells="1">
                  <from>
                    <xdr:col>2</xdr:col>
                    <xdr:colOff>19050</xdr:colOff>
                    <xdr:row>111</xdr:row>
                    <xdr:rowOff>28575</xdr:rowOff>
                  </from>
                  <to>
                    <xdr:col>2</xdr:col>
                    <xdr:colOff>1590675</xdr:colOff>
                    <xdr:row>111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2" r:id="rId118" name="Drop Down 434">
              <controlPr defaultSize="0" autoLine="0" autoPict="0">
                <anchor moveWithCells="1">
                  <from>
                    <xdr:col>1</xdr:col>
                    <xdr:colOff>2152650</xdr:colOff>
                    <xdr:row>114</xdr:row>
                    <xdr:rowOff>28575</xdr:rowOff>
                  </from>
                  <to>
                    <xdr:col>2</xdr:col>
                    <xdr:colOff>1200150</xdr:colOff>
                    <xdr:row>114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3" r:id="rId119" name="Check Box 435">
              <controlPr defaultSize="0" autoFill="0" autoLine="0" autoPict="0">
                <anchor moveWithCells="1">
                  <from>
                    <xdr:col>2</xdr:col>
                    <xdr:colOff>19050</xdr:colOff>
                    <xdr:row>112</xdr:row>
                    <xdr:rowOff>28575</xdr:rowOff>
                  </from>
                  <to>
                    <xdr:col>2</xdr:col>
                    <xdr:colOff>1590675</xdr:colOff>
                    <xdr:row>112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4" r:id="rId120" name="Drop Down 436">
              <controlPr defaultSize="0" autoLine="0" autoPict="0">
                <anchor moveWithCells="1">
                  <from>
                    <xdr:col>2</xdr:col>
                    <xdr:colOff>0</xdr:colOff>
                    <xdr:row>113</xdr:row>
                    <xdr:rowOff>28575</xdr:rowOff>
                  </from>
                  <to>
                    <xdr:col>2</xdr:col>
                    <xdr:colOff>1200150</xdr:colOff>
                    <xdr:row>113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5" r:id="rId121" name="Check Box 43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116</xdr:row>
                    <xdr:rowOff>9525</xdr:rowOff>
                  </from>
                  <to>
                    <xdr:col>2</xdr:col>
                    <xdr:colOff>1771650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6" r:id="rId122" name="Check Box 438">
              <controlPr defaultSize="0" autoFill="0" autoLine="0" autoPict="0">
                <anchor moveWithCells="1">
                  <from>
                    <xdr:col>2</xdr:col>
                    <xdr:colOff>9525</xdr:colOff>
                    <xdr:row>117</xdr:row>
                    <xdr:rowOff>19050</xdr:rowOff>
                  </from>
                  <to>
                    <xdr:col>2</xdr:col>
                    <xdr:colOff>1581150</xdr:colOff>
                    <xdr:row>117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7" r:id="rId123" name="Drop Down 439">
              <controlPr defaultSize="0" autoLine="0" autoPict="0">
                <anchor moveWithCells="1">
                  <from>
                    <xdr:col>2</xdr:col>
                    <xdr:colOff>19050</xdr:colOff>
                    <xdr:row>120</xdr:row>
                    <xdr:rowOff>9525</xdr:rowOff>
                  </from>
                  <to>
                    <xdr:col>2</xdr:col>
                    <xdr:colOff>1171575</xdr:colOff>
                    <xdr:row>120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8" r:id="rId124" name="Check Box 440">
              <controlPr defaultSize="0" autoFill="0" autoLine="0" autoPict="0">
                <anchor moveWithCells="1">
                  <from>
                    <xdr:col>2</xdr:col>
                    <xdr:colOff>19050</xdr:colOff>
                    <xdr:row>121</xdr:row>
                    <xdr:rowOff>28575</xdr:rowOff>
                  </from>
                  <to>
                    <xdr:col>2</xdr:col>
                    <xdr:colOff>1590675</xdr:colOff>
                    <xdr:row>121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89" r:id="rId125" name="Drop Down 441">
              <controlPr defaultSize="0" autoLine="0" autoPict="0">
                <anchor moveWithCells="1">
                  <from>
                    <xdr:col>1</xdr:col>
                    <xdr:colOff>2152650</xdr:colOff>
                    <xdr:row>124</xdr:row>
                    <xdr:rowOff>28575</xdr:rowOff>
                  </from>
                  <to>
                    <xdr:col>2</xdr:col>
                    <xdr:colOff>1200150</xdr:colOff>
                    <xdr:row>124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0" r:id="rId126" name="Check Box 442">
              <controlPr defaultSize="0" autoFill="0" autoLine="0" autoPict="0">
                <anchor moveWithCells="1">
                  <from>
                    <xdr:col>2</xdr:col>
                    <xdr:colOff>19050</xdr:colOff>
                    <xdr:row>122</xdr:row>
                    <xdr:rowOff>28575</xdr:rowOff>
                  </from>
                  <to>
                    <xdr:col>2</xdr:col>
                    <xdr:colOff>1590675</xdr:colOff>
                    <xdr:row>122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1" r:id="rId127" name="Drop Down 443">
              <controlPr defaultSize="0" autoLine="0" autoPict="0">
                <anchor moveWithCells="1">
                  <from>
                    <xdr:col>2</xdr:col>
                    <xdr:colOff>0</xdr:colOff>
                    <xdr:row>123</xdr:row>
                    <xdr:rowOff>28575</xdr:rowOff>
                  </from>
                  <to>
                    <xdr:col>2</xdr:col>
                    <xdr:colOff>1200150</xdr:colOff>
                    <xdr:row>123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2" r:id="rId128" name="Check Box 44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126</xdr:row>
                    <xdr:rowOff>9525</xdr:rowOff>
                  </from>
                  <to>
                    <xdr:col>2</xdr:col>
                    <xdr:colOff>1771650</xdr:colOff>
                    <xdr:row>127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3" r:id="rId129" name="Check Box 445">
              <controlPr defaultSize="0" autoFill="0" autoLine="0" autoPict="0">
                <anchor moveWithCells="1">
                  <from>
                    <xdr:col>2</xdr:col>
                    <xdr:colOff>9525</xdr:colOff>
                    <xdr:row>127</xdr:row>
                    <xdr:rowOff>19050</xdr:rowOff>
                  </from>
                  <to>
                    <xdr:col>2</xdr:col>
                    <xdr:colOff>1581150</xdr:colOff>
                    <xdr:row>127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4" r:id="rId130" name="Drop Down 446">
              <controlPr defaultSize="0" autoLine="0" autoPict="0">
                <anchor moveWithCells="1">
                  <from>
                    <xdr:col>2</xdr:col>
                    <xdr:colOff>19050</xdr:colOff>
                    <xdr:row>130</xdr:row>
                    <xdr:rowOff>9525</xdr:rowOff>
                  </from>
                  <to>
                    <xdr:col>2</xdr:col>
                    <xdr:colOff>1171575</xdr:colOff>
                    <xdr:row>130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5" r:id="rId131" name="Check Box 447">
              <controlPr defaultSize="0" autoFill="0" autoLine="0" autoPict="0">
                <anchor moveWithCells="1">
                  <from>
                    <xdr:col>2</xdr:col>
                    <xdr:colOff>19050</xdr:colOff>
                    <xdr:row>131</xdr:row>
                    <xdr:rowOff>28575</xdr:rowOff>
                  </from>
                  <to>
                    <xdr:col>2</xdr:col>
                    <xdr:colOff>1590675</xdr:colOff>
                    <xdr:row>131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6" r:id="rId132" name="Drop Down 448">
              <controlPr defaultSize="0" autoLine="0" autoPict="0">
                <anchor moveWithCells="1">
                  <from>
                    <xdr:col>1</xdr:col>
                    <xdr:colOff>2152650</xdr:colOff>
                    <xdr:row>134</xdr:row>
                    <xdr:rowOff>28575</xdr:rowOff>
                  </from>
                  <to>
                    <xdr:col>2</xdr:col>
                    <xdr:colOff>1200150</xdr:colOff>
                    <xdr:row>134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7" r:id="rId133" name="Check Box 449">
              <controlPr defaultSize="0" autoFill="0" autoLine="0" autoPict="0">
                <anchor moveWithCells="1">
                  <from>
                    <xdr:col>2</xdr:col>
                    <xdr:colOff>19050</xdr:colOff>
                    <xdr:row>132</xdr:row>
                    <xdr:rowOff>28575</xdr:rowOff>
                  </from>
                  <to>
                    <xdr:col>2</xdr:col>
                    <xdr:colOff>1590675</xdr:colOff>
                    <xdr:row>132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8" r:id="rId134" name="Drop Down 450">
              <controlPr defaultSize="0" autoLine="0" autoPict="0">
                <anchor moveWithCells="1">
                  <from>
                    <xdr:col>2</xdr:col>
                    <xdr:colOff>0</xdr:colOff>
                    <xdr:row>133</xdr:row>
                    <xdr:rowOff>28575</xdr:rowOff>
                  </from>
                  <to>
                    <xdr:col>2</xdr:col>
                    <xdr:colOff>1200150</xdr:colOff>
                    <xdr:row>133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99" r:id="rId135" name="Check Box 451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136</xdr:row>
                    <xdr:rowOff>9525</xdr:rowOff>
                  </from>
                  <to>
                    <xdr:col>2</xdr:col>
                    <xdr:colOff>1771650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0" r:id="rId136" name="Check Box 452">
              <controlPr defaultSize="0" autoFill="0" autoLine="0" autoPict="0">
                <anchor moveWithCells="1">
                  <from>
                    <xdr:col>2</xdr:col>
                    <xdr:colOff>9525</xdr:colOff>
                    <xdr:row>137</xdr:row>
                    <xdr:rowOff>19050</xdr:rowOff>
                  </from>
                  <to>
                    <xdr:col>2</xdr:col>
                    <xdr:colOff>1581150</xdr:colOff>
                    <xdr:row>137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1" r:id="rId137" name="Drop Down 453">
              <controlPr defaultSize="0" autoLine="0" autoPict="0">
                <anchor moveWithCells="1">
                  <from>
                    <xdr:col>2</xdr:col>
                    <xdr:colOff>19050</xdr:colOff>
                    <xdr:row>140</xdr:row>
                    <xdr:rowOff>9525</xdr:rowOff>
                  </from>
                  <to>
                    <xdr:col>2</xdr:col>
                    <xdr:colOff>1171575</xdr:colOff>
                    <xdr:row>140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2" r:id="rId138" name="Check Box 454">
              <controlPr defaultSize="0" autoFill="0" autoLine="0" autoPict="0">
                <anchor moveWithCells="1">
                  <from>
                    <xdr:col>2</xdr:col>
                    <xdr:colOff>19050</xdr:colOff>
                    <xdr:row>141</xdr:row>
                    <xdr:rowOff>28575</xdr:rowOff>
                  </from>
                  <to>
                    <xdr:col>2</xdr:col>
                    <xdr:colOff>1590675</xdr:colOff>
                    <xdr:row>141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3" r:id="rId139" name="Drop Down 455">
              <controlPr defaultSize="0" autoLine="0" autoPict="0">
                <anchor moveWithCells="1">
                  <from>
                    <xdr:col>1</xdr:col>
                    <xdr:colOff>2152650</xdr:colOff>
                    <xdr:row>144</xdr:row>
                    <xdr:rowOff>28575</xdr:rowOff>
                  </from>
                  <to>
                    <xdr:col>2</xdr:col>
                    <xdr:colOff>1200150</xdr:colOff>
                    <xdr:row>144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4" r:id="rId140" name="Check Box 456">
              <controlPr defaultSize="0" autoFill="0" autoLine="0" autoPict="0">
                <anchor moveWithCells="1">
                  <from>
                    <xdr:col>2</xdr:col>
                    <xdr:colOff>19050</xdr:colOff>
                    <xdr:row>142</xdr:row>
                    <xdr:rowOff>28575</xdr:rowOff>
                  </from>
                  <to>
                    <xdr:col>2</xdr:col>
                    <xdr:colOff>1590675</xdr:colOff>
                    <xdr:row>142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5" r:id="rId141" name="Drop Down 457">
              <controlPr defaultSize="0" autoLine="0" autoPict="0">
                <anchor moveWithCells="1">
                  <from>
                    <xdr:col>2</xdr:col>
                    <xdr:colOff>0</xdr:colOff>
                    <xdr:row>143</xdr:row>
                    <xdr:rowOff>28575</xdr:rowOff>
                  </from>
                  <to>
                    <xdr:col>2</xdr:col>
                    <xdr:colOff>1200150</xdr:colOff>
                    <xdr:row>143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6" r:id="rId142" name="Check Box 45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146</xdr:row>
                    <xdr:rowOff>9525</xdr:rowOff>
                  </from>
                  <to>
                    <xdr:col>2</xdr:col>
                    <xdr:colOff>1771650</xdr:colOff>
                    <xdr:row>147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7" r:id="rId143" name="Check Box 459">
              <controlPr defaultSize="0" autoFill="0" autoLine="0" autoPict="0">
                <anchor moveWithCells="1">
                  <from>
                    <xdr:col>2</xdr:col>
                    <xdr:colOff>9525</xdr:colOff>
                    <xdr:row>147</xdr:row>
                    <xdr:rowOff>19050</xdr:rowOff>
                  </from>
                  <to>
                    <xdr:col>2</xdr:col>
                    <xdr:colOff>1581150</xdr:colOff>
                    <xdr:row>147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8" r:id="rId144" name="Drop Down 460">
              <controlPr defaultSize="0" autoLine="0" autoPict="0">
                <anchor moveWithCells="1">
                  <from>
                    <xdr:col>2</xdr:col>
                    <xdr:colOff>19050</xdr:colOff>
                    <xdr:row>150</xdr:row>
                    <xdr:rowOff>9525</xdr:rowOff>
                  </from>
                  <to>
                    <xdr:col>2</xdr:col>
                    <xdr:colOff>1171575</xdr:colOff>
                    <xdr:row>150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09" r:id="rId145" name="Check Box 461">
              <controlPr defaultSize="0" autoFill="0" autoLine="0" autoPict="0">
                <anchor moveWithCells="1">
                  <from>
                    <xdr:col>2</xdr:col>
                    <xdr:colOff>19050</xdr:colOff>
                    <xdr:row>151</xdr:row>
                    <xdr:rowOff>28575</xdr:rowOff>
                  </from>
                  <to>
                    <xdr:col>2</xdr:col>
                    <xdr:colOff>1590675</xdr:colOff>
                    <xdr:row>151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0" r:id="rId146" name="Drop Down 462">
              <controlPr defaultSize="0" autoLine="0" autoPict="0">
                <anchor moveWithCells="1">
                  <from>
                    <xdr:col>1</xdr:col>
                    <xdr:colOff>2152650</xdr:colOff>
                    <xdr:row>154</xdr:row>
                    <xdr:rowOff>28575</xdr:rowOff>
                  </from>
                  <to>
                    <xdr:col>2</xdr:col>
                    <xdr:colOff>1200150</xdr:colOff>
                    <xdr:row>154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1" r:id="rId147" name="Check Box 463">
              <controlPr defaultSize="0" autoFill="0" autoLine="0" autoPict="0">
                <anchor moveWithCells="1">
                  <from>
                    <xdr:col>2</xdr:col>
                    <xdr:colOff>19050</xdr:colOff>
                    <xdr:row>152</xdr:row>
                    <xdr:rowOff>28575</xdr:rowOff>
                  </from>
                  <to>
                    <xdr:col>2</xdr:col>
                    <xdr:colOff>1590675</xdr:colOff>
                    <xdr:row>152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2" r:id="rId148" name="Drop Down 464">
              <controlPr defaultSize="0" autoLine="0" autoPict="0">
                <anchor moveWithCells="1">
                  <from>
                    <xdr:col>2</xdr:col>
                    <xdr:colOff>0</xdr:colOff>
                    <xdr:row>153</xdr:row>
                    <xdr:rowOff>28575</xdr:rowOff>
                  </from>
                  <to>
                    <xdr:col>2</xdr:col>
                    <xdr:colOff>1200150</xdr:colOff>
                    <xdr:row>153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3" r:id="rId149" name="Check Box 46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156</xdr:row>
                    <xdr:rowOff>9525</xdr:rowOff>
                  </from>
                  <to>
                    <xdr:col>2</xdr:col>
                    <xdr:colOff>1771650</xdr:colOff>
                    <xdr:row>157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4" r:id="rId150" name="Check Box 466">
              <controlPr defaultSize="0" autoFill="0" autoLine="0" autoPict="0">
                <anchor moveWithCells="1">
                  <from>
                    <xdr:col>2</xdr:col>
                    <xdr:colOff>9525</xdr:colOff>
                    <xdr:row>157</xdr:row>
                    <xdr:rowOff>19050</xdr:rowOff>
                  </from>
                  <to>
                    <xdr:col>2</xdr:col>
                    <xdr:colOff>1581150</xdr:colOff>
                    <xdr:row>157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5" r:id="rId151" name="Drop Down 467">
              <controlPr defaultSize="0" autoLine="0" autoPict="0">
                <anchor moveWithCells="1">
                  <from>
                    <xdr:col>2</xdr:col>
                    <xdr:colOff>19050</xdr:colOff>
                    <xdr:row>160</xdr:row>
                    <xdr:rowOff>9525</xdr:rowOff>
                  </from>
                  <to>
                    <xdr:col>2</xdr:col>
                    <xdr:colOff>1171575</xdr:colOff>
                    <xdr:row>160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6" r:id="rId152" name="Check Box 468">
              <controlPr defaultSize="0" autoFill="0" autoLine="0" autoPict="0">
                <anchor moveWithCells="1">
                  <from>
                    <xdr:col>2</xdr:col>
                    <xdr:colOff>19050</xdr:colOff>
                    <xdr:row>161</xdr:row>
                    <xdr:rowOff>28575</xdr:rowOff>
                  </from>
                  <to>
                    <xdr:col>2</xdr:col>
                    <xdr:colOff>1590675</xdr:colOff>
                    <xdr:row>161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7" r:id="rId153" name="Drop Down 469">
              <controlPr defaultSize="0" autoLine="0" autoPict="0">
                <anchor moveWithCells="1">
                  <from>
                    <xdr:col>1</xdr:col>
                    <xdr:colOff>2152650</xdr:colOff>
                    <xdr:row>164</xdr:row>
                    <xdr:rowOff>28575</xdr:rowOff>
                  </from>
                  <to>
                    <xdr:col>2</xdr:col>
                    <xdr:colOff>1200150</xdr:colOff>
                    <xdr:row>164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8" r:id="rId154" name="Check Box 470">
              <controlPr defaultSize="0" autoFill="0" autoLine="0" autoPict="0">
                <anchor moveWithCells="1">
                  <from>
                    <xdr:col>2</xdr:col>
                    <xdr:colOff>19050</xdr:colOff>
                    <xdr:row>162</xdr:row>
                    <xdr:rowOff>28575</xdr:rowOff>
                  </from>
                  <to>
                    <xdr:col>2</xdr:col>
                    <xdr:colOff>1590675</xdr:colOff>
                    <xdr:row>162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19" r:id="rId155" name="Drop Down 471">
              <controlPr defaultSize="0" autoLine="0" autoPict="0">
                <anchor moveWithCells="1">
                  <from>
                    <xdr:col>2</xdr:col>
                    <xdr:colOff>0</xdr:colOff>
                    <xdr:row>163</xdr:row>
                    <xdr:rowOff>28575</xdr:rowOff>
                  </from>
                  <to>
                    <xdr:col>2</xdr:col>
                    <xdr:colOff>1200150</xdr:colOff>
                    <xdr:row>163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27" r:id="rId156" name="Check Box 479">
              <controlPr defaultSize="0" autoFill="0" autoLine="0" autoPict="0" altText="">
                <anchor moveWithCells="1">
                  <from>
                    <xdr:col>1</xdr:col>
                    <xdr:colOff>2152650</xdr:colOff>
                    <xdr:row>171</xdr:row>
                    <xdr:rowOff>38100</xdr:rowOff>
                  </from>
                  <to>
                    <xdr:col>2</xdr:col>
                    <xdr:colOff>981075</xdr:colOff>
                    <xdr:row>171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29" r:id="rId157" name="Check Box 481">
              <controlPr defaultSize="0" autoFill="0" autoLine="0" autoPict="0">
                <anchor moveWithCells="1">
                  <from>
                    <xdr:col>1</xdr:col>
                    <xdr:colOff>2152650</xdr:colOff>
                    <xdr:row>172</xdr:row>
                    <xdr:rowOff>28575</xdr:rowOff>
                  </from>
                  <to>
                    <xdr:col>2</xdr:col>
                    <xdr:colOff>990600</xdr:colOff>
                    <xdr:row>172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31" r:id="rId158" name="Check Box 483">
              <controlPr defaultSize="0" autoFill="0" autoLine="0" autoPict="0">
                <anchor moveWithCells="1">
                  <from>
                    <xdr:col>2</xdr:col>
                    <xdr:colOff>0</xdr:colOff>
                    <xdr:row>175</xdr:row>
                    <xdr:rowOff>38100</xdr:rowOff>
                  </from>
                  <to>
                    <xdr:col>2</xdr:col>
                    <xdr:colOff>981075</xdr:colOff>
                    <xdr:row>175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45" r:id="rId159" name="Check Box 497">
              <controlPr defaultSize="0" autoFill="0" autoLine="0" autoPict="0">
                <anchor moveWithCells="1">
                  <from>
                    <xdr:col>1</xdr:col>
                    <xdr:colOff>2143125</xdr:colOff>
                    <xdr:row>182</xdr:row>
                    <xdr:rowOff>28575</xdr:rowOff>
                  </from>
                  <to>
                    <xdr:col>2</xdr:col>
                    <xdr:colOff>981075</xdr:colOff>
                    <xdr:row>182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46" r:id="rId160" name="Check Box 498">
              <controlPr defaultSize="0" autoFill="0" autoLine="0" autoPict="0">
                <anchor moveWithCells="1">
                  <from>
                    <xdr:col>1</xdr:col>
                    <xdr:colOff>2152650</xdr:colOff>
                    <xdr:row>181</xdr:row>
                    <xdr:rowOff>28575</xdr:rowOff>
                  </from>
                  <to>
                    <xdr:col>2</xdr:col>
                    <xdr:colOff>990600</xdr:colOff>
                    <xdr:row>181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49" r:id="rId161" name="Check Box 501">
              <controlPr defaultSize="0" autoFill="0" autoLine="0" autoPict="0">
                <anchor moveWithCells="1">
                  <from>
                    <xdr:col>2</xdr:col>
                    <xdr:colOff>0</xdr:colOff>
                    <xdr:row>184</xdr:row>
                    <xdr:rowOff>28575</xdr:rowOff>
                  </from>
                  <to>
                    <xdr:col>2</xdr:col>
                    <xdr:colOff>990600</xdr:colOff>
                    <xdr:row>184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0" r:id="rId162" name="Check Box 502">
              <controlPr defaultSize="0" autoFill="0" autoLine="0" autoPict="0">
                <anchor moveWithCells="1">
                  <from>
                    <xdr:col>2</xdr:col>
                    <xdr:colOff>0</xdr:colOff>
                    <xdr:row>185</xdr:row>
                    <xdr:rowOff>38100</xdr:rowOff>
                  </from>
                  <to>
                    <xdr:col>2</xdr:col>
                    <xdr:colOff>1000125</xdr:colOff>
                    <xdr:row>185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57" r:id="rId163" name="Check Box 509">
              <controlPr defaultSize="0" autoFill="0" autoLine="0" autoPict="0">
                <anchor moveWithCells="1">
                  <from>
                    <xdr:col>2</xdr:col>
                    <xdr:colOff>0</xdr:colOff>
                    <xdr:row>174</xdr:row>
                    <xdr:rowOff>28575</xdr:rowOff>
                  </from>
                  <to>
                    <xdr:col>2</xdr:col>
                    <xdr:colOff>990600</xdr:colOff>
                    <xdr:row>174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" r:id="rId164" name="Drop Down 512">
              <controlPr defaultSize="0" autoLine="0" autoPict="0">
                <anchor moveWithCells="1">
                  <from>
                    <xdr:col>2</xdr:col>
                    <xdr:colOff>0</xdr:colOff>
                    <xdr:row>193</xdr:row>
                    <xdr:rowOff>19050</xdr:rowOff>
                  </from>
                  <to>
                    <xdr:col>2</xdr:col>
                    <xdr:colOff>1276350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" r:id="rId165" name="Drop Down 513">
              <controlPr defaultSize="0" autoLine="0" autoPict="0">
                <anchor moveWithCells="1">
                  <from>
                    <xdr:col>2</xdr:col>
                    <xdr:colOff>0</xdr:colOff>
                    <xdr:row>190</xdr:row>
                    <xdr:rowOff>19050</xdr:rowOff>
                  </from>
                  <to>
                    <xdr:col>2</xdr:col>
                    <xdr:colOff>1266825</xdr:colOff>
                    <xdr:row>190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2" r:id="rId166" name="Drop Down 514">
              <controlPr defaultSize="0" autoLine="0" autoPict="0">
                <anchor moveWithCells="1">
                  <from>
                    <xdr:col>2</xdr:col>
                    <xdr:colOff>0</xdr:colOff>
                    <xdr:row>189</xdr:row>
                    <xdr:rowOff>28575</xdr:rowOff>
                  </from>
                  <to>
                    <xdr:col>2</xdr:col>
                    <xdr:colOff>1276350</xdr:colOff>
                    <xdr:row>189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3" r:id="rId167" name="Check Box 515">
              <controlPr defaultSize="0" autoFill="0" autoLine="0" autoPict="0">
                <anchor moveWithCells="1">
                  <from>
                    <xdr:col>1</xdr:col>
                    <xdr:colOff>2143125</xdr:colOff>
                    <xdr:row>192</xdr:row>
                    <xdr:rowOff>28575</xdr:rowOff>
                  </from>
                  <to>
                    <xdr:col>2</xdr:col>
                    <xdr:colOff>981075</xdr:colOff>
                    <xdr:row>192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4" r:id="rId168" name="Check Box 516">
              <controlPr defaultSize="0" autoFill="0" autoLine="0" autoPict="0">
                <anchor moveWithCells="1">
                  <from>
                    <xdr:col>1</xdr:col>
                    <xdr:colOff>2152650</xdr:colOff>
                    <xdr:row>191</xdr:row>
                    <xdr:rowOff>28575</xdr:rowOff>
                  </from>
                  <to>
                    <xdr:col>2</xdr:col>
                    <xdr:colOff>990600</xdr:colOff>
                    <xdr:row>191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5" r:id="rId169" name="Check Box 517">
              <controlPr defaultSize="0" autoFill="0" autoLine="0" autoPict="0">
                <anchor moveWithCells="1">
                  <from>
                    <xdr:col>2</xdr:col>
                    <xdr:colOff>0</xdr:colOff>
                    <xdr:row>194</xdr:row>
                    <xdr:rowOff>28575</xdr:rowOff>
                  </from>
                  <to>
                    <xdr:col>2</xdr:col>
                    <xdr:colOff>990600</xdr:colOff>
                    <xdr:row>194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6" r:id="rId170" name="Check Box 518">
              <controlPr defaultSize="0" autoFill="0" autoLine="0" autoPict="0">
                <anchor moveWithCells="1">
                  <from>
                    <xdr:col>2</xdr:col>
                    <xdr:colOff>0</xdr:colOff>
                    <xdr:row>195</xdr:row>
                    <xdr:rowOff>38100</xdr:rowOff>
                  </from>
                  <to>
                    <xdr:col>2</xdr:col>
                    <xdr:colOff>1000125</xdr:colOff>
                    <xdr:row>195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7" r:id="rId171" name="Check Box 519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167</xdr:row>
                    <xdr:rowOff>9525</xdr:rowOff>
                  </from>
                  <to>
                    <xdr:col>2</xdr:col>
                    <xdr:colOff>1771650</xdr:colOff>
                    <xdr:row>168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8" r:id="rId172" name="Drop Down 520">
              <controlPr defaultSize="0" autoLine="0" autoPict="0">
                <anchor moveWithCells="1">
                  <from>
                    <xdr:col>2</xdr:col>
                    <xdr:colOff>0</xdr:colOff>
                    <xdr:row>203</xdr:row>
                    <xdr:rowOff>19050</xdr:rowOff>
                  </from>
                  <to>
                    <xdr:col>2</xdr:col>
                    <xdr:colOff>1276350</xdr:colOff>
                    <xdr:row>203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9" r:id="rId173" name="Drop Down 521">
              <controlPr defaultSize="0" autoLine="0" autoPict="0">
                <anchor moveWithCells="1">
                  <from>
                    <xdr:col>2</xdr:col>
                    <xdr:colOff>0</xdr:colOff>
                    <xdr:row>200</xdr:row>
                    <xdr:rowOff>19050</xdr:rowOff>
                  </from>
                  <to>
                    <xdr:col>2</xdr:col>
                    <xdr:colOff>1266825</xdr:colOff>
                    <xdr:row>200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0" r:id="rId174" name="Drop Down 522">
              <controlPr defaultSize="0" autoLine="0" autoPict="0">
                <anchor moveWithCells="1">
                  <from>
                    <xdr:col>2</xdr:col>
                    <xdr:colOff>0</xdr:colOff>
                    <xdr:row>199</xdr:row>
                    <xdr:rowOff>28575</xdr:rowOff>
                  </from>
                  <to>
                    <xdr:col>2</xdr:col>
                    <xdr:colOff>1276350</xdr:colOff>
                    <xdr:row>199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1" r:id="rId175" name="Check Box 523">
              <controlPr defaultSize="0" autoFill="0" autoLine="0" autoPict="0">
                <anchor moveWithCells="1">
                  <from>
                    <xdr:col>1</xdr:col>
                    <xdr:colOff>2143125</xdr:colOff>
                    <xdr:row>202</xdr:row>
                    <xdr:rowOff>28575</xdr:rowOff>
                  </from>
                  <to>
                    <xdr:col>2</xdr:col>
                    <xdr:colOff>981075</xdr:colOff>
                    <xdr:row>202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2" r:id="rId176" name="Check Box 524">
              <controlPr defaultSize="0" autoFill="0" autoLine="0" autoPict="0">
                <anchor moveWithCells="1">
                  <from>
                    <xdr:col>1</xdr:col>
                    <xdr:colOff>2152650</xdr:colOff>
                    <xdr:row>201</xdr:row>
                    <xdr:rowOff>28575</xdr:rowOff>
                  </from>
                  <to>
                    <xdr:col>2</xdr:col>
                    <xdr:colOff>990600</xdr:colOff>
                    <xdr:row>201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3" r:id="rId177" name="Check Box 525">
              <controlPr defaultSize="0" autoFill="0" autoLine="0" autoPict="0">
                <anchor moveWithCells="1">
                  <from>
                    <xdr:col>2</xdr:col>
                    <xdr:colOff>0</xdr:colOff>
                    <xdr:row>204</xdr:row>
                    <xdr:rowOff>28575</xdr:rowOff>
                  </from>
                  <to>
                    <xdr:col>2</xdr:col>
                    <xdr:colOff>990600</xdr:colOff>
                    <xdr:row>204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4" r:id="rId178" name="Check Box 526">
              <controlPr defaultSize="0" autoFill="0" autoLine="0" autoPict="0">
                <anchor moveWithCells="1">
                  <from>
                    <xdr:col>2</xdr:col>
                    <xdr:colOff>0</xdr:colOff>
                    <xdr:row>205</xdr:row>
                    <xdr:rowOff>38100</xdr:rowOff>
                  </from>
                  <to>
                    <xdr:col>2</xdr:col>
                    <xdr:colOff>1000125</xdr:colOff>
                    <xdr:row>205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5" r:id="rId179" name="Drop Down 527">
              <controlPr defaultSize="0" autoLine="0" autoPict="0">
                <anchor moveWithCells="1">
                  <from>
                    <xdr:col>2</xdr:col>
                    <xdr:colOff>0</xdr:colOff>
                    <xdr:row>213</xdr:row>
                    <xdr:rowOff>19050</xdr:rowOff>
                  </from>
                  <to>
                    <xdr:col>2</xdr:col>
                    <xdr:colOff>1276350</xdr:colOff>
                    <xdr:row>213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6" r:id="rId180" name="Drop Down 528">
              <controlPr defaultSize="0" autoLine="0" autoPict="0">
                <anchor moveWithCells="1">
                  <from>
                    <xdr:col>2</xdr:col>
                    <xdr:colOff>0</xdr:colOff>
                    <xdr:row>210</xdr:row>
                    <xdr:rowOff>19050</xdr:rowOff>
                  </from>
                  <to>
                    <xdr:col>2</xdr:col>
                    <xdr:colOff>1266825</xdr:colOff>
                    <xdr:row>210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7" r:id="rId181" name="Drop Down 529">
              <controlPr defaultSize="0" autoLine="0" autoPict="0">
                <anchor moveWithCells="1">
                  <from>
                    <xdr:col>2</xdr:col>
                    <xdr:colOff>0</xdr:colOff>
                    <xdr:row>209</xdr:row>
                    <xdr:rowOff>28575</xdr:rowOff>
                  </from>
                  <to>
                    <xdr:col>2</xdr:col>
                    <xdr:colOff>1276350</xdr:colOff>
                    <xdr:row>209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8" r:id="rId182" name="Check Box 530">
              <controlPr defaultSize="0" autoFill="0" autoLine="0" autoPict="0">
                <anchor moveWithCells="1">
                  <from>
                    <xdr:col>1</xdr:col>
                    <xdr:colOff>2143125</xdr:colOff>
                    <xdr:row>212</xdr:row>
                    <xdr:rowOff>28575</xdr:rowOff>
                  </from>
                  <to>
                    <xdr:col>2</xdr:col>
                    <xdr:colOff>981075</xdr:colOff>
                    <xdr:row>212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79" r:id="rId183" name="Check Box 531">
              <controlPr defaultSize="0" autoFill="0" autoLine="0" autoPict="0">
                <anchor moveWithCells="1">
                  <from>
                    <xdr:col>1</xdr:col>
                    <xdr:colOff>2152650</xdr:colOff>
                    <xdr:row>211</xdr:row>
                    <xdr:rowOff>28575</xdr:rowOff>
                  </from>
                  <to>
                    <xdr:col>2</xdr:col>
                    <xdr:colOff>990600</xdr:colOff>
                    <xdr:row>211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0" r:id="rId184" name="Check Box 532">
              <controlPr defaultSize="0" autoFill="0" autoLine="0" autoPict="0">
                <anchor moveWithCells="1">
                  <from>
                    <xdr:col>2</xdr:col>
                    <xdr:colOff>0</xdr:colOff>
                    <xdr:row>214</xdr:row>
                    <xdr:rowOff>28575</xdr:rowOff>
                  </from>
                  <to>
                    <xdr:col>2</xdr:col>
                    <xdr:colOff>990600</xdr:colOff>
                    <xdr:row>214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1" r:id="rId185" name="Check Box 533">
              <controlPr defaultSize="0" autoFill="0" autoLine="0" autoPict="0">
                <anchor moveWithCells="1">
                  <from>
                    <xdr:col>2</xdr:col>
                    <xdr:colOff>0</xdr:colOff>
                    <xdr:row>215</xdr:row>
                    <xdr:rowOff>38100</xdr:rowOff>
                  </from>
                  <to>
                    <xdr:col>2</xdr:col>
                    <xdr:colOff>1000125</xdr:colOff>
                    <xdr:row>215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2" r:id="rId186" name="Drop Down 534">
              <controlPr defaultSize="0" autoLine="0" autoPict="0">
                <anchor moveWithCells="1">
                  <from>
                    <xdr:col>2</xdr:col>
                    <xdr:colOff>0</xdr:colOff>
                    <xdr:row>223</xdr:row>
                    <xdr:rowOff>19050</xdr:rowOff>
                  </from>
                  <to>
                    <xdr:col>2</xdr:col>
                    <xdr:colOff>1276350</xdr:colOff>
                    <xdr:row>223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3" r:id="rId187" name="Drop Down 535">
              <controlPr defaultSize="0" autoLine="0" autoPict="0">
                <anchor moveWithCells="1">
                  <from>
                    <xdr:col>2</xdr:col>
                    <xdr:colOff>0</xdr:colOff>
                    <xdr:row>220</xdr:row>
                    <xdr:rowOff>19050</xdr:rowOff>
                  </from>
                  <to>
                    <xdr:col>2</xdr:col>
                    <xdr:colOff>1266825</xdr:colOff>
                    <xdr:row>220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4" r:id="rId188" name="Drop Down 536">
              <controlPr defaultSize="0" autoLine="0" autoPict="0">
                <anchor moveWithCells="1">
                  <from>
                    <xdr:col>2</xdr:col>
                    <xdr:colOff>0</xdr:colOff>
                    <xdr:row>219</xdr:row>
                    <xdr:rowOff>28575</xdr:rowOff>
                  </from>
                  <to>
                    <xdr:col>2</xdr:col>
                    <xdr:colOff>1276350</xdr:colOff>
                    <xdr:row>219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5" r:id="rId189" name="Check Box 537">
              <controlPr defaultSize="0" autoFill="0" autoLine="0" autoPict="0">
                <anchor moveWithCells="1">
                  <from>
                    <xdr:col>1</xdr:col>
                    <xdr:colOff>2143125</xdr:colOff>
                    <xdr:row>222</xdr:row>
                    <xdr:rowOff>28575</xdr:rowOff>
                  </from>
                  <to>
                    <xdr:col>2</xdr:col>
                    <xdr:colOff>981075</xdr:colOff>
                    <xdr:row>222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6" r:id="rId190" name="Check Box 538">
              <controlPr defaultSize="0" autoFill="0" autoLine="0" autoPict="0">
                <anchor moveWithCells="1">
                  <from>
                    <xdr:col>1</xdr:col>
                    <xdr:colOff>2152650</xdr:colOff>
                    <xdr:row>221</xdr:row>
                    <xdr:rowOff>28575</xdr:rowOff>
                  </from>
                  <to>
                    <xdr:col>2</xdr:col>
                    <xdr:colOff>990600</xdr:colOff>
                    <xdr:row>221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7" r:id="rId191" name="Check Box 539">
              <controlPr defaultSize="0" autoFill="0" autoLine="0" autoPict="0">
                <anchor moveWithCells="1">
                  <from>
                    <xdr:col>2</xdr:col>
                    <xdr:colOff>0</xdr:colOff>
                    <xdr:row>224</xdr:row>
                    <xdr:rowOff>28575</xdr:rowOff>
                  </from>
                  <to>
                    <xdr:col>2</xdr:col>
                    <xdr:colOff>990600</xdr:colOff>
                    <xdr:row>224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8" r:id="rId192" name="Check Box 540">
              <controlPr defaultSize="0" autoFill="0" autoLine="0" autoPict="0">
                <anchor moveWithCells="1">
                  <from>
                    <xdr:col>2</xdr:col>
                    <xdr:colOff>0</xdr:colOff>
                    <xdr:row>225</xdr:row>
                    <xdr:rowOff>38100</xdr:rowOff>
                  </from>
                  <to>
                    <xdr:col>2</xdr:col>
                    <xdr:colOff>1000125</xdr:colOff>
                    <xdr:row>225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89" r:id="rId193" name="Drop Down 541">
              <controlPr defaultSize="0" autoLine="0" autoPict="0">
                <anchor moveWithCells="1">
                  <from>
                    <xdr:col>2</xdr:col>
                    <xdr:colOff>0</xdr:colOff>
                    <xdr:row>233</xdr:row>
                    <xdr:rowOff>19050</xdr:rowOff>
                  </from>
                  <to>
                    <xdr:col>2</xdr:col>
                    <xdr:colOff>1276350</xdr:colOff>
                    <xdr:row>233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0" r:id="rId194" name="Drop Down 542">
              <controlPr defaultSize="0" autoLine="0" autoPict="0">
                <anchor moveWithCells="1">
                  <from>
                    <xdr:col>2</xdr:col>
                    <xdr:colOff>0</xdr:colOff>
                    <xdr:row>230</xdr:row>
                    <xdr:rowOff>19050</xdr:rowOff>
                  </from>
                  <to>
                    <xdr:col>2</xdr:col>
                    <xdr:colOff>1266825</xdr:colOff>
                    <xdr:row>230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1" r:id="rId195" name="Drop Down 543">
              <controlPr defaultSize="0" autoLine="0" autoPict="0">
                <anchor moveWithCells="1">
                  <from>
                    <xdr:col>2</xdr:col>
                    <xdr:colOff>0</xdr:colOff>
                    <xdr:row>229</xdr:row>
                    <xdr:rowOff>28575</xdr:rowOff>
                  </from>
                  <to>
                    <xdr:col>2</xdr:col>
                    <xdr:colOff>1276350</xdr:colOff>
                    <xdr:row>229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2" r:id="rId196" name="Check Box 544">
              <controlPr defaultSize="0" autoFill="0" autoLine="0" autoPict="0">
                <anchor moveWithCells="1">
                  <from>
                    <xdr:col>1</xdr:col>
                    <xdr:colOff>2143125</xdr:colOff>
                    <xdr:row>232</xdr:row>
                    <xdr:rowOff>28575</xdr:rowOff>
                  </from>
                  <to>
                    <xdr:col>2</xdr:col>
                    <xdr:colOff>981075</xdr:colOff>
                    <xdr:row>232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3" r:id="rId197" name="Check Box 545">
              <controlPr defaultSize="0" autoFill="0" autoLine="0" autoPict="0">
                <anchor moveWithCells="1">
                  <from>
                    <xdr:col>1</xdr:col>
                    <xdr:colOff>2152650</xdr:colOff>
                    <xdr:row>231</xdr:row>
                    <xdr:rowOff>28575</xdr:rowOff>
                  </from>
                  <to>
                    <xdr:col>2</xdr:col>
                    <xdr:colOff>990600</xdr:colOff>
                    <xdr:row>231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4" r:id="rId198" name="Check Box 546">
              <controlPr defaultSize="0" autoFill="0" autoLine="0" autoPict="0">
                <anchor moveWithCells="1">
                  <from>
                    <xdr:col>2</xdr:col>
                    <xdr:colOff>0</xdr:colOff>
                    <xdr:row>234</xdr:row>
                    <xdr:rowOff>28575</xdr:rowOff>
                  </from>
                  <to>
                    <xdr:col>2</xdr:col>
                    <xdr:colOff>990600</xdr:colOff>
                    <xdr:row>234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5" r:id="rId199" name="Check Box 547">
              <controlPr defaultSize="0" autoFill="0" autoLine="0" autoPict="0">
                <anchor moveWithCells="1">
                  <from>
                    <xdr:col>2</xdr:col>
                    <xdr:colOff>0</xdr:colOff>
                    <xdr:row>235</xdr:row>
                    <xdr:rowOff>38100</xdr:rowOff>
                  </from>
                  <to>
                    <xdr:col>2</xdr:col>
                    <xdr:colOff>1000125</xdr:colOff>
                    <xdr:row>235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6" r:id="rId200" name="Drop Down 548">
              <controlPr defaultSize="0" autoLine="0" autoPict="0">
                <anchor moveWithCells="1">
                  <from>
                    <xdr:col>2</xdr:col>
                    <xdr:colOff>0</xdr:colOff>
                    <xdr:row>243</xdr:row>
                    <xdr:rowOff>19050</xdr:rowOff>
                  </from>
                  <to>
                    <xdr:col>2</xdr:col>
                    <xdr:colOff>1276350</xdr:colOff>
                    <xdr:row>243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7" r:id="rId201" name="Drop Down 549">
              <controlPr defaultSize="0" autoLine="0" autoPict="0">
                <anchor moveWithCells="1">
                  <from>
                    <xdr:col>2</xdr:col>
                    <xdr:colOff>0</xdr:colOff>
                    <xdr:row>240</xdr:row>
                    <xdr:rowOff>19050</xdr:rowOff>
                  </from>
                  <to>
                    <xdr:col>2</xdr:col>
                    <xdr:colOff>1266825</xdr:colOff>
                    <xdr:row>240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8" r:id="rId202" name="Drop Down 550">
              <controlPr defaultSize="0" autoLine="0" autoPict="0">
                <anchor moveWithCells="1">
                  <from>
                    <xdr:col>2</xdr:col>
                    <xdr:colOff>0</xdr:colOff>
                    <xdr:row>239</xdr:row>
                    <xdr:rowOff>28575</xdr:rowOff>
                  </from>
                  <to>
                    <xdr:col>2</xdr:col>
                    <xdr:colOff>1276350</xdr:colOff>
                    <xdr:row>239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99" r:id="rId203" name="Check Box 551">
              <controlPr defaultSize="0" autoFill="0" autoLine="0" autoPict="0">
                <anchor moveWithCells="1">
                  <from>
                    <xdr:col>1</xdr:col>
                    <xdr:colOff>2143125</xdr:colOff>
                    <xdr:row>242</xdr:row>
                    <xdr:rowOff>28575</xdr:rowOff>
                  </from>
                  <to>
                    <xdr:col>2</xdr:col>
                    <xdr:colOff>981075</xdr:colOff>
                    <xdr:row>242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0" r:id="rId204" name="Check Box 552">
              <controlPr defaultSize="0" autoFill="0" autoLine="0" autoPict="0">
                <anchor moveWithCells="1">
                  <from>
                    <xdr:col>1</xdr:col>
                    <xdr:colOff>2152650</xdr:colOff>
                    <xdr:row>241</xdr:row>
                    <xdr:rowOff>28575</xdr:rowOff>
                  </from>
                  <to>
                    <xdr:col>2</xdr:col>
                    <xdr:colOff>990600</xdr:colOff>
                    <xdr:row>241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1" r:id="rId205" name="Check Box 553">
              <controlPr defaultSize="0" autoFill="0" autoLine="0" autoPict="0">
                <anchor moveWithCells="1">
                  <from>
                    <xdr:col>2</xdr:col>
                    <xdr:colOff>0</xdr:colOff>
                    <xdr:row>244</xdr:row>
                    <xdr:rowOff>28575</xdr:rowOff>
                  </from>
                  <to>
                    <xdr:col>2</xdr:col>
                    <xdr:colOff>990600</xdr:colOff>
                    <xdr:row>244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2" r:id="rId206" name="Check Box 554">
              <controlPr defaultSize="0" autoFill="0" autoLine="0" autoPict="0">
                <anchor moveWithCells="1">
                  <from>
                    <xdr:col>2</xdr:col>
                    <xdr:colOff>0</xdr:colOff>
                    <xdr:row>245</xdr:row>
                    <xdr:rowOff>38100</xdr:rowOff>
                  </from>
                  <to>
                    <xdr:col>2</xdr:col>
                    <xdr:colOff>1000125</xdr:colOff>
                    <xdr:row>245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3" r:id="rId207" name="Check Box 55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177</xdr:row>
                    <xdr:rowOff>9525</xdr:rowOff>
                  </from>
                  <to>
                    <xdr:col>2</xdr:col>
                    <xdr:colOff>1771650</xdr:colOff>
                    <xdr:row>178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4" r:id="rId208" name="Check Box 556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187</xdr:row>
                    <xdr:rowOff>9525</xdr:rowOff>
                  </from>
                  <to>
                    <xdr:col>2</xdr:col>
                    <xdr:colOff>1771650</xdr:colOff>
                    <xdr:row>188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5" r:id="rId209" name="Check Box 55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197</xdr:row>
                    <xdr:rowOff>9525</xdr:rowOff>
                  </from>
                  <to>
                    <xdr:col>2</xdr:col>
                    <xdr:colOff>1771650</xdr:colOff>
                    <xdr:row>198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6" r:id="rId210" name="Check Box 55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207</xdr:row>
                    <xdr:rowOff>9525</xdr:rowOff>
                  </from>
                  <to>
                    <xdr:col>2</xdr:col>
                    <xdr:colOff>1771650</xdr:colOff>
                    <xdr:row>208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7" r:id="rId211" name="Check Box 559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217</xdr:row>
                    <xdr:rowOff>9525</xdr:rowOff>
                  </from>
                  <to>
                    <xdr:col>2</xdr:col>
                    <xdr:colOff>1771650</xdr:colOff>
                    <xdr:row>218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8" r:id="rId212" name="Check Box 560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227</xdr:row>
                    <xdr:rowOff>9525</xdr:rowOff>
                  </from>
                  <to>
                    <xdr:col>2</xdr:col>
                    <xdr:colOff>1771650</xdr:colOff>
                    <xdr:row>228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09" r:id="rId213" name="Check Box 561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237</xdr:row>
                    <xdr:rowOff>9525</xdr:rowOff>
                  </from>
                  <to>
                    <xdr:col>2</xdr:col>
                    <xdr:colOff>1771650</xdr:colOff>
                    <xdr:row>238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A6798-70B6-4374-92C9-78A3B5035A52}">
  <dimension ref="A1:E2228"/>
  <sheetViews>
    <sheetView topLeftCell="B1" zoomScale="130" zoomScaleNormal="130" workbookViewId="0">
      <selection activeCell="C9" sqref="C9"/>
    </sheetView>
  </sheetViews>
  <sheetFormatPr baseColWidth="10" defaultRowHeight="15" x14ac:dyDescent="0.25"/>
  <cols>
    <col min="1" max="1" width="11.42578125" style="4" hidden="1" customWidth="1"/>
    <col min="2" max="2" width="32.28515625" customWidth="1"/>
    <col min="3" max="3" width="34.140625" customWidth="1"/>
    <col min="4" max="4" width="5.28515625" bestFit="1" customWidth="1"/>
    <col min="5" max="5" width="13.5703125" customWidth="1"/>
    <col min="6" max="6" width="18.42578125" customWidth="1"/>
  </cols>
  <sheetData>
    <row r="1" spans="1:5" x14ac:dyDescent="0.25">
      <c r="B1" t="s">
        <v>43</v>
      </c>
      <c r="C1" s="3" t="s">
        <v>35</v>
      </c>
    </row>
    <row r="2" spans="1:5" ht="30.75" thickBot="1" x14ac:dyDescent="0.45">
      <c r="B2" s="26" t="s">
        <v>243</v>
      </c>
      <c r="C2" s="17" t="s">
        <v>253</v>
      </c>
    </row>
    <row r="3" spans="1:5" x14ac:dyDescent="0.25">
      <c r="A3" s="4" t="b">
        <v>1</v>
      </c>
      <c r="B3" s="5" t="s">
        <v>147</v>
      </c>
      <c r="C3" s="10"/>
    </row>
    <row r="4" spans="1:5" x14ac:dyDescent="0.25">
      <c r="A4" s="4" t="b">
        <v>1</v>
      </c>
      <c r="B4" s="6" t="s">
        <v>12</v>
      </c>
      <c r="C4" s="7"/>
    </row>
    <row r="5" spans="1:5" ht="15.75" thickBot="1" x14ac:dyDescent="0.3">
      <c r="A5" s="4" t="b">
        <v>0</v>
      </c>
      <c r="B5" s="8" t="s">
        <v>13</v>
      </c>
      <c r="C5" s="9"/>
    </row>
    <row r="6" spans="1:5" ht="9" customHeight="1" thickBot="1" x14ac:dyDescent="0.3">
      <c r="A6" s="20">
        <v>0</v>
      </c>
    </row>
    <row r="7" spans="1:5" x14ac:dyDescent="0.25">
      <c r="A7" s="4" t="b">
        <v>0</v>
      </c>
      <c r="B7" s="5" t="str">
        <f>"MPU_NS Region "&amp;A6</f>
        <v>MPU_NS Region 0</v>
      </c>
      <c r="C7" s="10"/>
    </row>
    <row r="8" spans="1:5" x14ac:dyDescent="0.25">
      <c r="A8" s="4" t="b">
        <v>1</v>
      </c>
      <c r="B8" s="6" t="s">
        <v>17</v>
      </c>
      <c r="C8" s="7"/>
    </row>
    <row r="9" spans="1:5" x14ac:dyDescent="0.25">
      <c r="A9" s="12" t="str">
        <f>DEC2HEX(_xlfn.BITLSHIFT(_xlfn.BITRSHIFT(HEX2DEC(C9),5),5),8)</f>
        <v>00000000</v>
      </c>
      <c r="B9" s="6" t="s">
        <v>18</v>
      </c>
      <c r="C9" s="16" t="s">
        <v>73</v>
      </c>
      <c r="D9" s="11" t="s">
        <v>39</v>
      </c>
      <c r="E9" s="14" t="str">
        <f>"0x"&amp;DEC2HEX(_xlfn.BITLSHIFT(_xlfn.BITRSHIFT(HEX2DEC(C9),5),5),8)</f>
        <v>0x00000000</v>
      </c>
    </row>
    <row r="10" spans="1:5" x14ac:dyDescent="0.25">
      <c r="A10" s="4" t="str">
        <f>DEC2HEX(_xlfn.BITLSHIFT(_xlfn.BITRSHIFT(HEX2DEC(C10),5),5)-1,8)</f>
        <v>0000001F</v>
      </c>
      <c r="B10" s="6" t="s">
        <v>44</v>
      </c>
      <c r="C10" s="16" t="s">
        <v>74</v>
      </c>
      <c r="D10" s="11" t="s">
        <v>38</v>
      </c>
      <c r="E10" s="13" t="str">
        <f>"0x"&amp;DEC2HEX(_xlfn.BITLSHIFT(_xlfn.BITRSHIFT(HEX2DEC(C10),5),5)-1,8)</f>
        <v>0x0000001F</v>
      </c>
    </row>
    <row r="11" spans="1:5" x14ac:dyDescent="0.25">
      <c r="A11" s="4">
        <v>1</v>
      </c>
      <c r="B11" s="6" t="s">
        <v>14</v>
      </c>
      <c r="C11" s="7"/>
      <c r="D11" s="11" t="s">
        <v>37</v>
      </c>
      <c r="E11" s="15" t="str">
        <f>"0x"&amp;TEXT(DEC2HEX(HEX2DEC(C10)-HEX2DEC(C9),8),"00000000")</f>
        <v>0x00000020</v>
      </c>
    </row>
    <row r="12" spans="1:5" x14ac:dyDescent="0.25">
      <c r="A12" s="4" t="b">
        <v>0</v>
      </c>
      <c r="B12" s="6" t="s">
        <v>15</v>
      </c>
      <c r="C12" s="7"/>
      <c r="D12" s="11"/>
      <c r="E12" s="15" t="str">
        <f>IF(HEX2DEC(RIGHT(E11,8))&gt;=1024,(HEX2DEC(RIGHT(E11,8))/1024)&amp;" kB",HEX2DEC(RIGHT(E11,8))&amp;" byte")</f>
        <v>32 byte</v>
      </c>
    </row>
    <row r="13" spans="1:5" x14ac:dyDescent="0.25">
      <c r="A13" s="4" t="b">
        <v>0</v>
      </c>
      <c r="B13" s="6" t="s">
        <v>49</v>
      </c>
      <c r="C13" s="7"/>
    </row>
    <row r="14" spans="1:5" x14ac:dyDescent="0.25">
      <c r="A14" s="4">
        <v>4</v>
      </c>
      <c r="B14" s="6" t="s">
        <v>16</v>
      </c>
      <c r="C14" s="7"/>
    </row>
    <row r="15" spans="1:5" ht="15.75" thickBot="1" x14ac:dyDescent="0.3">
      <c r="A15" s="4">
        <v>1</v>
      </c>
      <c r="B15" s="8" t="s">
        <v>50</v>
      </c>
      <c r="C15" s="9"/>
    </row>
    <row r="16" spans="1:5" ht="9" customHeight="1" thickBot="1" x14ac:dyDescent="0.3">
      <c r="A16" s="20">
        <f>A6+1</f>
        <v>1</v>
      </c>
    </row>
    <row r="17" spans="1:5" x14ac:dyDescent="0.25">
      <c r="A17" s="4" t="b">
        <v>0</v>
      </c>
      <c r="B17" s="5" t="str">
        <f>"MPU_NS Region "&amp;A16</f>
        <v>MPU_NS Region 1</v>
      </c>
      <c r="C17" s="10"/>
    </row>
    <row r="18" spans="1:5" x14ac:dyDescent="0.25">
      <c r="A18" s="4" t="b">
        <v>1</v>
      </c>
      <c r="B18" s="6" t="s">
        <v>17</v>
      </c>
      <c r="C18" s="7"/>
    </row>
    <row r="19" spans="1:5" x14ac:dyDescent="0.25">
      <c r="A19" s="12" t="str">
        <f>DEC2HEX(_xlfn.BITLSHIFT(_xlfn.BITRSHIFT(HEX2DEC(C19),5),5),8)</f>
        <v>00000000</v>
      </c>
      <c r="B19" s="6" t="s">
        <v>18</v>
      </c>
      <c r="C19" s="16" t="s">
        <v>73</v>
      </c>
      <c r="D19" s="11" t="s">
        <v>39</v>
      </c>
      <c r="E19" s="14" t="str">
        <f>"0x"&amp;DEC2HEX(_xlfn.BITLSHIFT(_xlfn.BITRSHIFT(HEX2DEC(C19),5),5),8)</f>
        <v>0x00000000</v>
      </c>
    </row>
    <row r="20" spans="1:5" x14ac:dyDescent="0.25">
      <c r="A20" s="4" t="str">
        <f>DEC2HEX(_xlfn.BITLSHIFT(_xlfn.BITRSHIFT(HEX2DEC(C20),5),5)-1,8)</f>
        <v>0000001F</v>
      </c>
      <c r="B20" s="6" t="s">
        <v>44</v>
      </c>
      <c r="C20" s="16" t="s">
        <v>74</v>
      </c>
      <c r="D20" s="11" t="s">
        <v>38</v>
      </c>
      <c r="E20" s="13" t="str">
        <f>"0x"&amp;DEC2HEX(_xlfn.BITLSHIFT(_xlfn.BITRSHIFT(HEX2DEC(C20),5),5)-1,8)</f>
        <v>0x0000001F</v>
      </c>
    </row>
    <row r="21" spans="1:5" x14ac:dyDescent="0.25">
      <c r="A21" s="4">
        <v>1</v>
      </c>
      <c r="B21" s="6" t="s">
        <v>14</v>
      </c>
      <c r="C21" s="7"/>
      <c r="D21" s="11" t="s">
        <v>37</v>
      </c>
      <c r="E21" s="15" t="str">
        <f>"0x"&amp;TEXT(DEC2HEX(HEX2DEC(C20)-HEX2DEC(C19),8),"00000000")</f>
        <v>0x00000020</v>
      </c>
    </row>
    <row r="22" spans="1:5" x14ac:dyDescent="0.25">
      <c r="A22" s="4" t="b">
        <v>0</v>
      </c>
      <c r="B22" s="6" t="s">
        <v>15</v>
      </c>
      <c r="C22" s="7"/>
      <c r="E22" s="15" t="str">
        <f>IF(HEX2DEC(RIGHT(E21,8))&gt;=1024,(HEX2DEC(RIGHT(E21,8))/1024)&amp;" kB",HEX2DEC(RIGHT(E21,8))&amp;" byte")</f>
        <v>32 byte</v>
      </c>
    </row>
    <row r="23" spans="1:5" x14ac:dyDescent="0.25">
      <c r="A23" s="4" t="b">
        <v>0</v>
      </c>
      <c r="B23" s="6" t="s">
        <v>49</v>
      </c>
      <c r="C23" s="7"/>
    </row>
    <row r="24" spans="1:5" x14ac:dyDescent="0.25">
      <c r="A24" s="4">
        <v>1</v>
      </c>
      <c r="B24" s="6" t="s">
        <v>16</v>
      </c>
      <c r="C24" s="7"/>
    </row>
    <row r="25" spans="1:5" ht="15.75" thickBot="1" x14ac:dyDescent="0.3">
      <c r="A25" s="4">
        <v>1</v>
      </c>
      <c r="B25" s="8" t="s">
        <v>50</v>
      </c>
      <c r="C25" s="9"/>
    </row>
    <row r="26" spans="1:5" ht="9" customHeight="1" thickBot="1" x14ac:dyDescent="0.3">
      <c r="A26" s="20">
        <f>A16+1</f>
        <v>2</v>
      </c>
    </row>
    <row r="27" spans="1:5" x14ac:dyDescent="0.25">
      <c r="A27" s="4" t="b">
        <v>0</v>
      </c>
      <c r="B27" s="5" t="str">
        <f>"MPU_NS Region "&amp;A26</f>
        <v>MPU_NS Region 2</v>
      </c>
      <c r="C27" s="10"/>
    </row>
    <row r="28" spans="1:5" x14ac:dyDescent="0.25">
      <c r="A28" s="4" t="b">
        <v>1</v>
      </c>
      <c r="B28" s="6" t="s">
        <v>17</v>
      </c>
      <c r="C28" s="7"/>
    </row>
    <row r="29" spans="1:5" x14ac:dyDescent="0.25">
      <c r="A29" s="12" t="str">
        <f>DEC2HEX(_xlfn.BITLSHIFT(_xlfn.BITRSHIFT(HEX2DEC(C29),5),5),8)</f>
        <v>00000000</v>
      </c>
      <c r="B29" s="6" t="s">
        <v>18</v>
      </c>
      <c r="C29" s="16" t="s">
        <v>73</v>
      </c>
      <c r="D29" s="11" t="s">
        <v>39</v>
      </c>
      <c r="E29" s="14" t="str">
        <f>"0x"&amp;DEC2HEX(_xlfn.BITLSHIFT(_xlfn.BITRSHIFT(HEX2DEC(C29),5),5),8)</f>
        <v>0x00000000</v>
      </c>
    </row>
    <row r="30" spans="1:5" x14ac:dyDescent="0.25">
      <c r="A30" s="4" t="str">
        <f>DEC2HEX(_xlfn.BITLSHIFT(_xlfn.BITRSHIFT(HEX2DEC(C30),5),5)-1,8)</f>
        <v>0000001F</v>
      </c>
      <c r="B30" s="6" t="s">
        <v>44</v>
      </c>
      <c r="C30" s="16" t="s">
        <v>74</v>
      </c>
      <c r="D30" s="11" t="s">
        <v>38</v>
      </c>
      <c r="E30" s="13" t="str">
        <f>"0x"&amp;DEC2HEX(_xlfn.BITLSHIFT(_xlfn.BITRSHIFT(HEX2DEC(C30),5),5)-1,8)</f>
        <v>0x0000001F</v>
      </c>
    </row>
    <row r="31" spans="1:5" x14ac:dyDescent="0.25">
      <c r="A31" s="4">
        <v>1</v>
      </c>
      <c r="B31" s="6" t="s">
        <v>14</v>
      </c>
      <c r="C31" s="7"/>
      <c r="D31" s="11" t="s">
        <v>37</v>
      </c>
      <c r="E31" s="15" t="str">
        <f>"0x"&amp;TEXT(DEC2HEX(HEX2DEC(C30)-HEX2DEC(C29),8),"00000000")</f>
        <v>0x00000020</v>
      </c>
    </row>
    <row r="32" spans="1:5" x14ac:dyDescent="0.25">
      <c r="A32" s="4" t="b">
        <v>0</v>
      </c>
      <c r="B32" s="6" t="s">
        <v>15</v>
      </c>
      <c r="C32" s="7"/>
      <c r="E32" s="15" t="str">
        <f>IF(HEX2DEC(RIGHT(E31,8))&gt;=1024,(HEX2DEC(RIGHT(E31,8))/1024)&amp;" kB",HEX2DEC(RIGHT(E31,8))&amp;" byte")</f>
        <v>32 byte</v>
      </c>
    </row>
    <row r="33" spans="1:5" x14ac:dyDescent="0.25">
      <c r="A33" s="4" t="b">
        <v>0</v>
      </c>
      <c r="B33" s="6" t="s">
        <v>49</v>
      </c>
      <c r="C33" s="7"/>
    </row>
    <row r="34" spans="1:5" x14ac:dyDescent="0.25">
      <c r="A34" s="4">
        <v>2</v>
      </c>
      <c r="B34" s="6" t="s">
        <v>16</v>
      </c>
      <c r="C34" s="7"/>
    </row>
    <row r="35" spans="1:5" ht="15.75" thickBot="1" x14ac:dyDescent="0.3">
      <c r="A35" s="4">
        <v>1</v>
      </c>
      <c r="B35" s="8" t="s">
        <v>50</v>
      </c>
      <c r="C35" s="9"/>
    </row>
    <row r="36" spans="1:5" ht="9" customHeight="1" thickBot="1" x14ac:dyDescent="0.3">
      <c r="A36" s="20">
        <f>A26+1</f>
        <v>3</v>
      </c>
    </row>
    <row r="37" spans="1:5" x14ac:dyDescent="0.25">
      <c r="A37" s="4" t="b">
        <v>0</v>
      </c>
      <c r="B37" s="5" t="str">
        <f>"MPU_NS Region "&amp;A36</f>
        <v>MPU_NS Region 3</v>
      </c>
      <c r="C37" s="10"/>
    </row>
    <row r="38" spans="1:5" x14ac:dyDescent="0.25">
      <c r="A38" s="4" t="b">
        <v>1</v>
      </c>
      <c r="B38" s="6" t="s">
        <v>17</v>
      </c>
      <c r="C38" s="7"/>
    </row>
    <row r="39" spans="1:5" x14ac:dyDescent="0.25">
      <c r="A39" s="12" t="str">
        <f>DEC2HEX(_xlfn.BITLSHIFT(_xlfn.BITRSHIFT(HEX2DEC(C39),5),5),8)</f>
        <v>00000000</v>
      </c>
      <c r="B39" s="6" t="s">
        <v>18</v>
      </c>
      <c r="C39" s="16" t="s">
        <v>73</v>
      </c>
      <c r="D39" s="11" t="s">
        <v>39</v>
      </c>
      <c r="E39" s="14" t="str">
        <f>"0x"&amp;DEC2HEX(_xlfn.BITLSHIFT(_xlfn.BITRSHIFT(HEX2DEC(C39),5),5),8)</f>
        <v>0x00000000</v>
      </c>
    </row>
    <row r="40" spans="1:5" x14ac:dyDescent="0.25">
      <c r="A40" s="4" t="str">
        <f>DEC2HEX(_xlfn.BITLSHIFT(_xlfn.BITRSHIFT(HEX2DEC(C40),5),5)-1,8)</f>
        <v>0000001F</v>
      </c>
      <c r="B40" s="6" t="s">
        <v>44</v>
      </c>
      <c r="C40" s="16" t="s">
        <v>74</v>
      </c>
      <c r="D40" s="11" t="s">
        <v>38</v>
      </c>
      <c r="E40" s="13" t="str">
        <f>"0x"&amp;DEC2HEX(_xlfn.BITLSHIFT(_xlfn.BITRSHIFT(HEX2DEC(C40),5),5)-1,8)</f>
        <v>0x0000001F</v>
      </c>
    </row>
    <row r="41" spans="1:5" x14ac:dyDescent="0.25">
      <c r="A41" s="4">
        <v>1</v>
      </c>
      <c r="B41" s="6" t="s">
        <v>14</v>
      </c>
      <c r="C41" s="7"/>
      <c r="D41" s="11" t="s">
        <v>37</v>
      </c>
      <c r="E41" s="15" t="str">
        <f>"0x"&amp;TEXT(DEC2HEX(HEX2DEC(C40)-HEX2DEC(C39),8),"00000000")</f>
        <v>0x00000020</v>
      </c>
    </row>
    <row r="42" spans="1:5" x14ac:dyDescent="0.25">
      <c r="A42" s="4" t="b">
        <v>0</v>
      </c>
      <c r="B42" s="6" t="s">
        <v>15</v>
      </c>
      <c r="C42" s="7"/>
      <c r="E42" s="15" t="str">
        <f>IF(HEX2DEC(RIGHT(E41,8))&gt;=1024,(HEX2DEC(RIGHT(E41,8))/1024)&amp;" kB",HEX2DEC(RIGHT(E41,8))&amp;" byte")</f>
        <v>32 byte</v>
      </c>
    </row>
    <row r="43" spans="1:5" x14ac:dyDescent="0.25">
      <c r="A43" s="4" t="b">
        <v>0</v>
      </c>
      <c r="B43" s="6" t="s">
        <v>49</v>
      </c>
      <c r="C43" s="7"/>
    </row>
    <row r="44" spans="1:5" x14ac:dyDescent="0.25">
      <c r="A44" s="4">
        <v>1</v>
      </c>
      <c r="B44" s="6" t="s">
        <v>16</v>
      </c>
      <c r="C44" s="7"/>
    </row>
    <row r="45" spans="1:5" ht="15.75" thickBot="1" x14ac:dyDescent="0.3">
      <c r="A45" s="4">
        <v>1</v>
      </c>
      <c r="B45" s="8" t="s">
        <v>50</v>
      </c>
      <c r="C45" s="9"/>
    </row>
    <row r="46" spans="1:5" ht="9" customHeight="1" thickBot="1" x14ac:dyDescent="0.3">
      <c r="A46" s="20">
        <f>A36+1</f>
        <v>4</v>
      </c>
    </row>
    <row r="47" spans="1:5" x14ac:dyDescent="0.25">
      <c r="A47" s="4" t="b">
        <v>0</v>
      </c>
      <c r="B47" s="5" t="str">
        <f>"MPU_NS Region "&amp;A46</f>
        <v>MPU_NS Region 4</v>
      </c>
      <c r="C47" s="10"/>
    </row>
    <row r="48" spans="1:5" x14ac:dyDescent="0.25">
      <c r="A48" s="4" t="b">
        <v>1</v>
      </c>
      <c r="B48" s="6" t="s">
        <v>17</v>
      </c>
      <c r="C48" s="7"/>
    </row>
    <row r="49" spans="1:5" x14ac:dyDescent="0.25">
      <c r="A49" s="12" t="str">
        <f>DEC2HEX(_xlfn.BITLSHIFT(_xlfn.BITRSHIFT(HEX2DEC(C49),5),5),8)</f>
        <v>00000000</v>
      </c>
      <c r="B49" s="6" t="s">
        <v>18</v>
      </c>
      <c r="C49" s="16" t="s">
        <v>73</v>
      </c>
      <c r="D49" s="11" t="s">
        <v>39</v>
      </c>
      <c r="E49" s="14" t="str">
        <f>"0x"&amp;DEC2HEX(_xlfn.BITLSHIFT(_xlfn.BITRSHIFT(HEX2DEC(C49),5),5),8)</f>
        <v>0x00000000</v>
      </c>
    </row>
    <row r="50" spans="1:5" x14ac:dyDescent="0.25">
      <c r="A50" s="4" t="str">
        <f>DEC2HEX(_xlfn.BITLSHIFT(_xlfn.BITRSHIFT(HEX2DEC(C50),5),5)-1,8)</f>
        <v>0000001F</v>
      </c>
      <c r="B50" s="6" t="s">
        <v>44</v>
      </c>
      <c r="C50" s="16" t="s">
        <v>74</v>
      </c>
      <c r="D50" s="11" t="s">
        <v>38</v>
      </c>
      <c r="E50" s="13" t="str">
        <f>"0x"&amp;DEC2HEX(_xlfn.BITLSHIFT(_xlfn.BITRSHIFT(HEX2DEC(C50),5),5)-1,8)</f>
        <v>0x0000001F</v>
      </c>
    </row>
    <row r="51" spans="1:5" x14ac:dyDescent="0.25">
      <c r="A51" s="4">
        <v>1</v>
      </c>
      <c r="B51" s="6" t="s">
        <v>14</v>
      </c>
      <c r="C51" s="7"/>
      <c r="D51" s="11" t="s">
        <v>37</v>
      </c>
      <c r="E51" s="15" t="str">
        <f>"0x"&amp;TEXT(DEC2HEX(HEX2DEC(C50)-HEX2DEC(C49),8),"00000000")</f>
        <v>0x00000020</v>
      </c>
    </row>
    <row r="52" spans="1:5" x14ac:dyDescent="0.25">
      <c r="A52" s="4" t="b">
        <v>0</v>
      </c>
      <c r="B52" s="6" t="s">
        <v>15</v>
      </c>
      <c r="C52" s="7"/>
      <c r="E52" s="15" t="str">
        <f>IF(HEX2DEC(RIGHT(E51,8))&gt;=1024,(HEX2DEC(RIGHT(E51,8))/1024)&amp;" kB",HEX2DEC(RIGHT(E51,8))&amp;" byte")</f>
        <v>32 byte</v>
      </c>
    </row>
    <row r="53" spans="1:5" x14ac:dyDescent="0.25">
      <c r="A53" s="4" t="b">
        <v>0</v>
      </c>
      <c r="B53" s="6" t="s">
        <v>49</v>
      </c>
      <c r="C53" s="7"/>
    </row>
    <row r="54" spans="1:5" x14ac:dyDescent="0.25">
      <c r="A54" s="4">
        <v>1</v>
      </c>
      <c r="B54" s="6" t="s">
        <v>16</v>
      </c>
      <c r="C54" s="7"/>
    </row>
    <row r="55" spans="1:5" ht="15.75" thickBot="1" x14ac:dyDescent="0.3">
      <c r="A55" s="4">
        <v>1</v>
      </c>
      <c r="B55" s="8" t="s">
        <v>50</v>
      </c>
      <c r="C55" s="9"/>
    </row>
    <row r="56" spans="1:5" ht="9" customHeight="1" thickBot="1" x14ac:dyDescent="0.3">
      <c r="A56" s="20">
        <f>A46+1</f>
        <v>5</v>
      </c>
    </row>
    <row r="57" spans="1:5" x14ac:dyDescent="0.25">
      <c r="A57" s="4" t="b">
        <v>0</v>
      </c>
      <c r="B57" s="5" t="str">
        <f>"MPU_NS Region "&amp;A56</f>
        <v>MPU_NS Region 5</v>
      </c>
      <c r="C57" s="10"/>
    </row>
    <row r="58" spans="1:5" x14ac:dyDescent="0.25">
      <c r="A58" s="4" t="b">
        <v>1</v>
      </c>
      <c r="B58" s="6" t="s">
        <v>17</v>
      </c>
      <c r="C58" s="7"/>
    </row>
    <row r="59" spans="1:5" x14ac:dyDescent="0.25">
      <c r="A59" s="12" t="str">
        <f>DEC2HEX(_xlfn.BITLSHIFT(_xlfn.BITRSHIFT(HEX2DEC(C59),5),5),8)</f>
        <v>00000000</v>
      </c>
      <c r="B59" s="6" t="s">
        <v>18</v>
      </c>
      <c r="C59" s="16" t="s">
        <v>73</v>
      </c>
      <c r="D59" s="11" t="s">
        <v>39</v>
      </c>
      <c r="E59" s="14" t="str">
        <f>"0x"&amp;DEC2HEX(_xlfn.BITLSHIFT(_xlfn.BITRSHIFT(HEX2DEC(C59),5),5),8)</f>
        <v>0x00000000</v>
      </c>
    </row>
    <row r="60" spans="1:5" x14ac:dyDescent="0.25">
      <c r="A60" s="4" t="str">
        <f>DEC2HEX(_xlfn.BITLSHIFT(_xlfn.BITRSHIFT(HEX2DEC(C60),5),5)-1,8)</f>
        <v>0000001F</v>
      </c>
      <c r="B60" s="6" t="s">
        <v>44</v>
      </c>
      <c r="C60" s="16" t="s">
        <v>74</v>
      </c>
      <c r="D60" s="11" t="s">
        <v>38</v>
      </c>
      <c r="E60" s="13" t="str">
        <f>"0x"&amp;DEC2HEX(_xlfn.BITLSHIFT(_xlfn.BITRSHIFT(HEX2DEC(C60),5),5)-1,8)</f>
        <v>0x0000001F</v>
      </c>
    </row>
    <row r="61" spans="1:5" x14ac:dyDescent="0.25">
      <c r="A61" s="4">
        <v>1</v>
      </c>
      <c r="B61" s="6" t="s">
        <v>14</v>
      </c>
      <c r="C61" s="7"/>
      <c r="D61" s="11" t="s">
        <v>37</v>
      </c>
      <c r="E61" s="15" t="str">
        <f>"0x"&amp;TEXT(DEC2HEX(HEX2DEC(C60)-HEX2DEC(C59),8),"00000000")</f>
        <v>0x00000020</v>
      </c>
    </row>
    <row r="62" spans="1:5" x14ac:dyDescent="0.25">
      <c r="A62" s="4" t="b">
        <v>0</v>
      </c>
      <c r="B62" s="6" t="s">
        <v>15</v>
      </c>
      <c r="C62" s="7"/>
      <c r="E62" s="15" t="str">
        <f>IF(HEX2DEC(RIGHT(E61,8))&gt;=1024,(HEX2DEC(RIGHT(E61,8))/1024)&amp;" kB",HEX2DEC(RIGHT(E61,8))&amp;" byte")</f>
        <v>32 byte</v>
      </c>
    </row>
    <row r="63" spans="1:5" x14ac:dyDescent="0.25">
      <c r="A63" s="4" t="b">
        <v>0</v>
      </c>
      <c r="B63" s="6" t="s">
        <v>49</v>
      </c>
      <c r="C63" s="7"/>
    </row>
    <row r="64" spans="1:5" x14ac:dyDescent="0.25">
      <c r="A64" s="4">
        <v>2</v>
      </c>
      <c r="B64" s="6" t="s">
        <v>16</v>
      </c>
      <c r="C64" s="7"/>
    </row>
    <row r="65" spans="1:5" ht="15.75" thickBot="1" x14ac:dyDescent="0.3">
      <c r="A65" s="4">
        <v>8</v>
      </c>
      <c r="B65" s="8" t="s">
        <v>50</v>
      </c>
      <c r="C65" s="9"/>
    </row>
    <row r="66" spans="1:5" ht="9" customHeight="1" thickBot="1" x14ac:dyDescent="0.3">
      <c r="A66" s="20">
        <f>A56+1</f>
        <v>6</v>
      </c>
    </row>
    <row r="67" spans="1:5" x14ac:dyDescent="0.25">
      <c r="A67" s="4" t="b">
        <v>0</v>
      </c>
      <c r="B67" s="5" t="str">
        <f>"MPU_NS Region "&amp;A66</f>
        <v>MPU_NS Region 6</v>
      </c>
      <c r="C67" s="10"/>
    </row>
    <row r="68" spans="1:5" x14ac:dyDescent="0.25">
      <c r="A68" s="4" t="b">
        <v>1</v>
      </c>
      <c r="B68" s="6" t="s">
        <v>17</v>
      </c>
      <c r="C68" s="7"/>
    </row>
    <row r="69" spans="1:5" x14ac:dyDescent="0.25">
      <c r="A69" s="12" t="str">
        <f>DEC2HEX(_xlfn.BITLSHIFT(_xlfn.BITRSHIFT(HEX2DEC(C69),5),5),8)</f>
        <v>00000000</v>
      </c>
      <c r="B69" s="6" t="s">
        <v>18</v>
      </c>
      <c r="C69" s="16" t="s">
        <v>73</v>
      </c>
      <c r="D69" s="11" t="s">
        <v>39</v>
      </c>
      <c r="E69" s="14" t="str">
        <f>"0x"&amp;DEC2HEX(_xlfn.BITLSHIFT(_xlfn.BITRSHIFT(HEX2DEC(C69),5),5),8)</f>
        <v>0x00000000</v>
      </c>
    </row>
    <row r="70" spans="1:5" x14ac:dyDescent="0.25">
      <c r="A70" s="4" t="str">
        <f>DEC2HEX(_xlfn.BITLSHIFT(_xlfn.BITRSHIFT(HEX2DEC(C70),5),5)-1,8)</f>
        <v>0000003F</v>
      </c>
      <c r="B70" s="6" t="s">
        <v>44</v>
      </c>
      <c r="C70" s="16" t="s">
        <v>189</v>
      </c>
      <c r="D70" s="11" t="s">
        <v>38</v>
      </c>
      <c r="E70" s="13" t="str">
        <f>"0x"&amp;DEC2HEX(_xlfn.BITLSHIFT(_xlfn.BITRSHIFT(HEX2DEC(C70),5),5)-1,8)</f>
        <v>0x0000003F</v>
      </c>
    </row>
    <row r="71" spans="1:5" x14ac:dyDescent="0.25">
      <c r="A71" s="4">
        <v>1</v>
      </c>
      <c r="B71" s="6" t="s">
        <v>14</v>
      </c>
      <c r="C71" s="7"/>
      <c r="D71" s="11" t="s">
        <v>37</v>
      </c>
      <c r="E71" s="15" t="str">
        <f>"0x"&amp;TEXT(DEC2HEX(HEX2DEC(C70)-HEX2DEC(C69),8),"00000000")</f>
        <v>0x00000040</v>
      </c>
    </row>
    <row r="72" spans="1:5" x14ac:dyDescent="0.25">
      <c r="A72" s="4" t="b">
        <v>0</v>
      </c>
      <c r="B72" s="6" t="s">
        <v>15</v>
      </c>
      <c r="C72" s="7"/>
      <c r="D72" s="11"/>
      <c r="E72" s="15" t="str">
        <f>IF(HEX2DEC(RIGHT(E71,8))&gt;=1024,(HEX2DEC(RIGHT(E71,8))/1024)&amp;" kB",HEX2DEC(RIGHT(E71,8))&amp;" byte")</f>
        <v>64 byte</v>
      </c>
    </row>
    <row r="73" spans="1:5" x14ac:dyDescent="0.25">
      <c r="A73" s="4" t="b">
        <v>0</v>
      </c>
      <c r="B73" s="6" t="s">
        <v>49</v>
      </c>
      <c r="C73" s="7"/>
    </row>
    <row r="74" spans="1:5" x14ac:dyDescent="0.25">
      <c r="A74" s="4">
        <v>1</v>
      </c>
      <c r="B74" s="6" t="s">
        <v>16</v>
      </c>
      <c r="C74" s="7"/>
    </row>
    <row r="75" spans="1:5" ht="15.75" thickBot="1" x14ac:dyDescent="0.3">
      <c r="A75" s="4">
        <v>1</v>
      </c>
      <c r="B75" s="8" t="s">
        <v>50</v>
      </c>
      <c r="C75" s="9"/>
    </row>
    <row r="76" spans="1:5" ht="9" customHeight="1" thickBot="1" x14ac:dyDescent="0.3">
      <c r="A76" s="20">
        <f>A66+1</f>
        <v>7</v>
      </c>
    </row>
    <row r="77" spans="1:5" x14ac:dyDescent="0.25">
      <c r="A77" s="4" t="b">
        <v>0</v>
      </c>
      <c r="B77" s="5" t="str">
        <f>"MPU_NS Region "&amp;A76</f>
        <v>MPU_NS Region 7</v>
      </c>
      <c r="C77" s="10"/>
    </row>
    <row r="78" spans="1:5" x14ac:dyDescent="0.25">
      <c r="A78" s="4" t="b">
        <v>1</v>
      </c>
      <c r="B78" s="6" t="s">
        <v>17</v>
      </c>
      <c r="C78" s="7"/>
    </row>
    <row r="79" spans="1:5" x14ac:dyDescent="0.25">
      <c r="A79" s="12" t="str">
        <f>DEC2HEX(_xlfn.BITLSHIFT(_xlfn.BITRSHIFT(HEX2DEC(C79),5),5),8)</f>
        <v>00000000</v>
      </c>
      <c r="B79" s="6" t="s">
        <v>18</v>
      </c>
      <c r="C79" s="16" t="s">
        <v>73</v>
      </c>
      <c r="D79" s="11" t="s">
        <v>39</v>
      </c>
      <c r="E79" s="14" t="str">
        <f>"0x"&amp;DEC2HEX(_xlfn.BITLSHIFT(_xlfn.BITRSHIFT(HEX2DEC(C79),5),5),8)</f>
        <v>0x00000000</v>
      </c>
    </row>
    <row r="80" spans="1:5" x14ac:dyDescent="0.25">
      <c r="A80" s="4" t="str">
        <f>DEC2HEX(_xlfn.BITLSHIFT(_xlfn.BITRSHIFT(HEX2DEC(C80),5),5)-1,8)</f>
        <v>0000001F</v>
      </c>
      <c r="B80" s="6" t="s">
        <v>44</v>
      </c>
      <c r="C80" s="16" t="s">
        <v>74</v>
      </c>
      <c r="D80" s="11" t="s">
        <v>38</v>
      </c>
      <c r="E80" s="13" t="str">
        <f>"0x"&amp;DEC2HEX(_xlfn.BITLSHIFT(_xlfn.BITRSHIFT(HEX2DEC(C80),5),5)-1,8)</f>
        <v>0x0000001F</v>
      </c>
    </row>
    <row r="81" spans="1:5" x14ac:dyDescent="0.25">
      <c r="A81" s="4">
        <v>1</v>
      </c>
      <c r="B81" s="6" t="s">
        <v>14</v>
      </c>
      <c r="C81" s="7"/>
      <c r="D81" s="11" t="s">
        <v>37</v>
      </c>
      <c r="E81" s="15" t="str">
        <f>"0x"&amp;TEXT(DEC2HEX(HEX2DEC(C80)-HEX2DEC(C79),8),"00000000")</f>
        <v>0x00000020</v>
      </c>
    </row>
    <row r="82" spans="1:5" x14ac:dyDescent="0.25">
      <c r="A82" s="4" t="b">
        <v>0</v>
      </c>
      <c r="B82" s="6" t="s">
        <v>15</v>
      </c>
      <c r="C82" s="7"/>
      <c r="D82" s="11"/>
      <c r="E82" s="15" t="str">
        <f>IF(HEX2DEC(RIGHT(E81,8))&gt;=1024,(HEX2DEC(RIGHT(E81,8))/1024)&amp;" kB",HEX2DEC(RIGHT(E81,8))&amp;" byte")</f>
        <v>32 byte</v>
      </c>
    </row>
    <row r="83" spans="1:5" x14ac:dyDescent="0.25">
      <c r="A83" s="4" t="b">
        <v>0</v>
      </c>
      <c r="B83" s="6" t="s">
        <v>49</v>
      </c>
      <c r="C83" s="7"/>
    </row>
    <row r="84" spans="1:5" x14ac:dyDescent="0.25">
      <c r="A84" s="4">
        <v>1</v>
      </c>
      <c r="B84" s="6" t="s">
        <v>16</v>
      </c>
      <c r="C84" s="7"/>
    </row>
    <row r="85" spans="1:5" ht="15.75" thickBot="1" x14ac:dyDescent="0.3">
      <c r="A85" s="4">
        <v>1</v>
      </c>
      <c r="B85" s="8" t="s">
        <v>50</v>
      </c>
      <c r="C85" s="9"/>
    </row>
    <row r="86" spans="1:5" ht="9" customHeight="1" thickBot="1" x14ac:dyDescent="0.3">
      <c r="A86" s="20">
        <f>A76+1</f>
        <v>8</v>
      </c>
    </row>
    <row r="87" spans="1:5" x14ac:dyDescent="0.25">
      <c r="A87" s="4" t="b">
        <v>0</v>
      </c>
      <c r="B87" s="5" t="str">
        <f>"MPU_NS Region "&amp;A86</f>
        <v>MPU_NS Region 8</v>
      </c>
      <c r="C87" s="10"/>
    </row>
    <row r="88" spans="1:5" x14ac:dyDescent="0.25">
      <c r="A88" s="4" t="b">
        <v>1</v>
      </c>
      <c r="B88" s="6" t="s">
        <v>17</v>
      </c>
      <c r="C88" s="7"/>
    </row>
    <row r="89" spans="1:5" x14ac:dyDescent="0.25">
      <c r="A89" s="12" t="str">
        <f>DEC2HEX(_xlfn.BITLSHIFT(_xlfn.BITRSHIFT(HEX2DEC(C89),5),5),8)</f>
        <v>00000000</v>
      </c>
      <c r="B89" s="6" t="s">
        <v>18</v>
      </c>
      <c r="C89" s="16" t="s">
        <v>73</v>
      </c>
      <c r="D89" s="11" t="s">
        <v>39</v>
      </c>
      <c r="E89" s="14" t="str">
        <f>"0x"&amp;DEC2HEX(_xlfn.BITLSHIFT(_xlfn.BITRSHIFT(HEX2DEC(C89),5),5),8)</f>
        <v>0x00000000</v>
      </c>
    </row>
    <row r="90" spans="1:5" x14ac:dyDescent="0.25">
      <c r="A90" s="4" t="str">
        <f>DEC2HEX(_xlfn.BITLSHIFT(_xlfn.BITRSHIFT(HEX2DEC(C90),5),5)-1,8)</f>
        <v>0000001F</v>
      </c>
      <c r="B90" s="6" t="s">
        <v>44</v>
      </c>
      <c r="C90" s="16" t="s">
        <v>74</v>
      </c>
      <c r="D90" s="11" t="s">
        <v>38</v>
      </c>
      <c r="E90" s="13" t="str">
        <f>"0x"&amp;DEC2HEX(_xlfn.BITLSHIFT(_xlfn.BITRSHIFT(HEX2DEC(C90),5),5)-1,8)</f>
        <v>0x0000001F</v>
      </c>
    </row>
    <row r="91" spans="1:5" x14ac:dyDescent="0.25">
      <c r="A91" s="4">
        <v>2</v>
      </c>
      <c r="B91" s="6" t="s">
        <v>14</v>
      </c>
      <c r="C91" s="7"/>
      <c r="D91" s="11" t="s">
        <v>37</v>
      </c>
      <c r="E91" s="15" t="str">
        <f>"0x"&amp;TEXT(DEC2HEX(HEX2DEC(C90)-HEX2DEC(C89),8),"00000000")</f>
        <v>0x00000020</v>
      </c>
    </row>
    <row r="92" spans="1:5" x14ac:dyDescent="0.25">
      <c r="A92" s="4" t="b">
        <v>0</v>
      </c>
      <c r="B92" s="6" t="s">
        <v>15</v>
      </c>
      <c r="C92" s="7"/>
      <c r="D92" s="11"/>
      <c r="E92" s="15" t="str">
        <f>IF(HEX2DEC(RIGHT(E91,8))&gt;=1024,(HEX2DEC(RIGHT(E91,8))/1024)&amp;" kB",HEX2DEC(RIGHT(E91,8))&amp;" byte")</f>
        <v>32 byte</v>
      </c>
    </row>
    <row r="93" spans="1:5" x14ac:dyDescent="0.25">
      <c r="A93" s="4" t="b">
        <v>0</v>
      </c>
      <c r="B93" s="6" t="s">
        <v>49</v>
      </c>
      <c r="C93" s="7"/>
    </row>
    <row r="94" spans="1:5" x14ac:dyDescent="0.25">
      <c r="A94" s="4">
        <v>1</v>
      </c>
      <c r="B94" s="6" t="s">
        <v>16</v>
      </c>
      <c r="C94" s="7"/>
    </row>
    <row r="95" spans="1:5" ht="15.75" thickBot="1" x14ac:dyDescent="0.3">
      <c r="A95" s="4">
        <v>1</v>
      </c>
      <c r="B95" s="8" t="s">
        <v>50</v>
      </c>
      <c r="C95" s="9"/>
    </row>
    <row r="96" spans="1:5" ht="9" customHeight="1" thickBot="1" x14ac:dyDescent="0.3">
      <c r="A96" s="20">
        <f>A86+1</f>
        <v>9</v>
      </c>
    </row>
    <row r="97" spans="1:5" x14ac:dyDescent="0.25">
      <c r="A97" s="4" t="b">
        <v>0</v>
      </c>
      <c r="B97" s="5" t="str">
        <f>"MPU_NS Region "&amp;A96</f>
        <v>MPU_NS Region 9</v>
      </c>
      <c r="C97" s="10"/>
    </row>
    <row r="98" spans="1:5" x14ac:dyDescent="0.25">
      <c r="A98" s="4" t="b">
        <v>0</v>
      </c>
      <c r="B98" s="6" t="s">
        <v>17</v>
      </c>
      <c r="C98" s="7"/>
    </row>
    <row r="99" spans="1:5" x14ac:dyDescent="0.25">
      <c r="A99" s="12" t="str">
        <f>DEC2HEX(_xlfn.BITLSHIFT(_xlfn.BITRSHIFT(HEX2DEC(C99),5),5),8)</f>
        <v>00000000</v>
      </c>
      <c r="B99" s="6" t="s">
        <v>18</v>
      </c>
      <c r="C99" s="16" t="s">
        <v>73</v>
      </c>
      <c r="D99" s="11" t="s">
        <v>39</v>
      </c>
      <c r="E99" s="14" t="str">
        <f>"0x"&amp;DEC2HEX(_xlfn.BITLSHIFT(_xlfn.BITRSHIFT(HEX2DEC(C99),5),5),8)</f>
        <v>0x00000000</v>
      </c>
    </row>
    <row r="100" spans="1:5" x14ac:dyDescent="0.25">
      <c r="A100" s="4" t="str">
        <f>DEC2HEX(_xlfn.BITLSHIFT(_xlfn.BITRSHIFT(HEX2DEC(C100),5),5)-1,8)</f>
        <v>0000001F</v>
      </c>
      <c r="B100" s="6" t="s">
        <v>44</v>
      </c>
      <c r="C100" s="16" t="s">
        <v>74</v>
      </c>
      <c r="D100" s="11" t="s">
        <v>38</v>
      </c>
      <c r="E100" s="13" t="str">
        <f>"0x"&amp;DEC2HEX(_xlfn.BITLSHIFT(_xlfn.BITRSHIFT(HEX2DEC(C100),5),5)-1,8)</f>
        <v>0x0000001F</v>
      </c>
    </row>
    <row r="101" spans="1:5" x14ac:dyDescent="0.25">
      <c r="A101" s="4">
        <v>1</v>
      </c>
      <c r="B101" s="6" t="s">
        <v>14</v>
      </c>
      <c r="C101" s="7"/>
      <c r="D101" s="11" t="s">
        <v>37</v>
      </c>
      <c r="E101" s="15" t="str">
        <f>"0x"&amp;TEXT(DEC2HEX(HEX2DEC(C100)-HEX2DEC(C99),8),"00000000")</f>
        <v>0x00000020</v>
      </c>
    </row>
    <row r="102" spans="1:5" x14ac:dyDescent="0.25">
      <c r="A102" s="4" t="b">
        <v>0</v>
      </c>
      <c r="B102" s="6" t="s">
        <v>15</v>
      </c>
      <c r="C102" s="7"/>
      <c r="D102" s="11"/>
      <c r="E102" s="15" t="str">
        <f>IF(HEX2DEC(RIGHT(E101,8))&gt;=1024,(HEX2DEC(RIGHT(E101,8))/1024)&amp;" kB",HEX2DEC(RIGHT(E101,8))&amp;" byte")</f>
        <v>32 byte</v>
      </c>
    </row>
    <row r="103" spans="1:5" x14ac:dyDescent="0.25">
      <c r="A103" s="4" t="b">
        <v>0</v>
      </c>
      <c r="B103" s="6" t="s">
        <v>49</v>
      </c>
      <c r="C103" s="7"/>
    </row>
    <row r="104" spans="1:5" x14ac:dyDescent="0.25">
      <c r="A104" s="4">
        <v>1</v>
      </c>
      <c r="B104" s="6" t="s">
        <v>16</v>
      </c>
      <c r="C104" s="7"/>
    </row>
    <row r="105" spans="1:5" ht="15.75" thickBot="1" x14ac:dyDescent="0.3">
      <c r="A105" s="4">
        <v>1</v>
      </c>
      <c r="B105" s="8" t="s">
        <v>50</v>
      </c>
      <c r="C105" s="9"/>
    </row>
    <row r="106" spans="1:5" ht="9" customHeight="1" thickBot="1" x14ac:dyDescent="0.3">
      <c r="A106" s="20">
        <f>A96+1</f>
        <v>10</v>
      </c>
    </row>
    <row r="107" spans="1:5" x14ac:dyDescent="0.25">
      <c r="A107" s="4" t="b">
        <v>0</v>
      </c>
      <c r="B107" s="5" t="str">
        <f>"MPU Region "&amp;A106</f>
        <v>MPU Region 10</v>
      </c>
      <c r="C107" s="10"/>
    </row>
    <row r="108" spans="1:5" x14ac:dyDescent="0.25">
      <c r="A108" s="4" t="b">
        <v>1</v>
      </c>
      <c r="B108" s="6" t="s">
        <v>17</v>
      </c>
      <c r="C108" s="7"/>
    </row>
    <row r="109" spans="1:5" x14ac:dyDescent="0.25">
      <c r="A109" s="12" t="str">
        <f>DEC2HEX(_xlfn.BITLSHIFT(_xlfn.BITRSHIFT(HEX2DEC(C109),5),5),8)</f>
        <v>00000000</v>
      </c>
      <c r="B109" s="6" t="s">
        <v>18</v>
      </c>
      <c r="C109" s="16" t="s">
        <v>73</v>
      </c>
      <c r="D109" s="11" t="s">
        <v>39</v>
      </c>
      <c r="E109" s="14" t="str">
        <f>"0x"&amp;DEC2HEX(_xlfn.BITLSHIFT(_xlfn.BITRSHIFT(HEX2DEC(C109),5),5),8)</f>
        <v>0x00000000</v>
      </c>
    </row>
    <row r="110" spans="1:5" x14ac:dyDescent="0.25">
      <c r="A110" s="4" t="str">
        <f>DEC2HEX(_xlfn.BITLSHIFT(_xlfn.BITRSHIFT(HEX2DEC(C110),5),5)-1,8)</f>
        <v>0000001F</v>
      </c>
      <c r="B110" s="6" t="s">
        <v>44</v>
      </c>
      <c r="C110" s="16" t="s">
        <v>74</v>
      </c>
      <c r="D110" s="11" t="s">
        <v>38</v>
      </c>
      <c r="E110" s="13" t="str">
        <f>"0x"&amp;DEC2HEX(_xlfn.BITLSHIFT(_xlfn.BITRSHIFT(HEX2DEC(C110),5),5)-1,8)</f>
        <v>0x0000001F</v>
      </c>
    </row>
    <row r="111" spans="1:5" x14ac:dyDescent="0.25">
      <c r="A111" s="4">
        <v>1</v>
      </c>
      <c r="B111" s="6" t="s">
        <v>14</v>
      </c>
      <c r="C111" s="7"/>
      <c r="D111" s="11" t="s">
        <v>37</v>
      </c>
      <c r="E111" s="15" t="str">
        <f>"0x"&amp;TEXT(DEC2HEX(HEX2DEC(C110)-HEX2DEC(C109),8),"00000000")</f>
        <v>0x00000020</v>
      </c>
    </row>
    <row r="112" spans="1:5" x14ac:dyDescent="0.25">
      <c r="A112" s="4" t="b">
        <v>0</v>
      </c>
      <c r="B112" s="6" t="s">
        <v>15</v>
      </c>
      <c r="C112" s="7"/>
      <c r="D112" s="11"/>
      <c r="E112" s="15" t="str">
        <f>IF(HEX2DEC(RIGHT(E111,8))&gt;=1024,(HEX2DEC(RIGHT(E111,8))/1024)&amp;" kB",HEX2DEC(RIGHT(E111,8))&amp;" byte")</f>
        <v>32 byte</v>
      </c>
    </row>
    <row r="113" spans="1:5" x14ac:dyDescent="0.25">
      <c r="A113" s="4" t="b">
        <v>0</v>
      </c>
      <c r="B113" s="6" t="s">
        <v>49</v>
      </c>
      <c r="C113" s="7"/>
    </row>
    <row r="114" spans="1:5" x14ac:dyDescent="0.25">
      <c r="A114" s="4">
        <v>1</v>
      </c>
      <c r="B114" s="6" t="s">
        <v>16</v>
      </c>
      <c r="C114" s="7"/>
    </row>
    <row r="115" spans="1:5" ht="15.75" thickBot="1" x14ac:dyDescent="0.3">
      <c r="A115" s="4">
        <v>1</v>
      </c>
      <c r="B115" s="8" t="s">
        <v>50</v>
      </c>
      <c r="C115" s="9"/>
    </row>
    <row r="116" spans="1:5" ht="9" customHeight="1" thickBot="1" x14ac:dyDescent="0.3">
      <c r="A116" s="20">
        <f>A106+1</f>
        <v>11</v>
      </c>
    </row>
    <row r="117" spans="1:5" x14ac:dyDescent="0.25">
      <c r="A117" s="4" t="b">
        <v>0</v>
      </c>
      <c r="B117" s="5" t="str">
        <f>"MPU Region "&amp;A116</f>
        <v>MPU Region 11</v>
      </c>
      <c r="C117" s="10"/>
    </row>
    <row r="118" spans="1:5" x14ac:dyDescent="0.25">
      <c r="A118" s="4" t="b">
        <v>1</v>
      </c>
      <c r="B118" s="6" t="s">
        <v>17</v>
      </c>
      <c r="C118" s="7"/>
    </row>
    <row r="119" spans="1:5" x14ac:dyDescent="0.25">
      <c r="A119" s="12" t="str">
        <f>DEC2HEX(_xlfn.BITLSHIFT(_xlfn.BITRSHIFT(HEX2DEC(C119),5),5),8)</f>
        <v>00000000</v>
      </c>
      <c r="B119" s="6" t="s">
        <v>18</v>
      </c>
      <c r="C119" s="16" t="s">
        <v>73</v>
      </c>
      <c r="D119" s="11" t="s">
        <v>39</v>
      </c>
      <c r="E119" s="14" t="str">
        <f>"0x"&amp;DEC2HEX(_xlfn.BITLSHIFT(_xlfn.BITRSHIFT(HEX2DEC(C119),5),5),8)</f>
        <v>0x00000000</v>
      </c>
    </row>
    <row r="120" spans="1:5" x14ac:dyDescent="0.25">
      <c r="A120" s="4" t="str">
        <f>DEC2HEX(_xlfn.BITLSHIFT(_xlfn.BITRSHIFT(HEX2DEC(C120),5),5)-1,8)</f>
        <v>0000001F</v>
      </c>
      <c r="B120" s="6" t="s">
        <v>44</v>
      </c>
      <c r="C120" s="16" t="s">
        <v>74</v>
      </c>
      <c r="D120" s="11" t="s">
        <v>38</v>
      </c>
      <c r="E120" s="13" t="str">
        <f>"0x"&amp;DEC2HEX(_xlfn.BITLSHIFT(_xlfn.BITRSHIFT(HEX2DEC(C120),5),5)-1,8)</f>
        <v>0x0000001F</v>
      </c>
    </row>
    <row r="121" spans="1:5" x14ac:dyDescent="0.25">
      <c r="A121" s="4">
        <v>1</v>
      </c>
      <c r="B121" s="6" t="s">
        <v>14</v>
      </c>
      <c r="C121" s="7"/>
      <c r="D121" s="11" t="s">
        <v>37</v>
      </c>
      <c r="E121" s="15" t="str">
        <f>"0x"&amp;TEXT(DEC2HEX(HEX2DEC(C120)-HEX2DEC(C119),8),"00000000")</f>
        <v>0x00000020</v>
      </c>
    </row>
    <row r="122" spans="1:5" x14ac:dyDescent="0.25">
      <c r="A122" s="4" t="b">
        <v>0</v>
      </c>
      <c r="B122" s="6" t="s">
        <v>15</v>
      </c>
      <c r="C122" s="7"/>
      <c r="D122" s="11"/>
      <c r="E122" s="15" t="str">
        <f>IF(HEX2DEC(RIGHT(E121,8))&gt;=1024,(HEX2DEC(RIGHT(E121,8))/1024)&amp;" kB",HEX2DEC(RIGHT(E121,8))&amp;" byte")</f>
        <v>32 byte</v>
      </c>
    </row>
    <row r="123" spans="1:5" x14ac:dyDescent="0.25">
      <c r="A123" s="4" t="b">
        <v>0</v>
      </c>
      <c r="B123" s="6" t="s">
        <v>49</v>
      </c>
      <c r="C123" s="7"/>
    </row>
    <row r="124" spans="1:5" x14ac:dyDescent="0.25">
      <c r="A124" s="4">
        <v>1</v>
      </c>
      <c r="B124" s="6" t="s">
        <v>16</v>
      </c>
      <c r="C124" s="7"/>
    </row>
    <row r="125" spans="1:5" ht="15.75" thickBot="1" x14ac:dyDescent="0.3">
      <c r="A125" s="4">
        <v>1</v>
      </c>
      <c r="B125" s="8" t="s">
        <v>50</v>
      </c>
      <c r="C125" s="9"/>
    </row>
    <row r="126" spans="1:5" ht="9" customHeight="1" thickBot="1" x14ac:dyDescent="0.3">
      <c r="A126" s="20">
        <f>A116+1</f>
        <v>12</v>
      </c>
    </row>
    <row r="127" spans="1:5" x14ac:dyDescent="0.25">
      <c r="A127" s="4" t="b">
        <v>0</v>
      </c>
      <c r="B127" s="5" t="str">
        <f>"MPU_NS Region "&amp;A126</f>
        <v>MPU_NS Region 12</v>
      </c>
      <c r="C127" s="10"/>
    </row>
    <row r="128" spans="1:5" x14ac:dyDescent="0.25">
      <c r="A128" s="4" t="b">
        <v>1</v>
      </c>
      <c r="B128" s="6" t="s">
        <v>17</v>
      </c>
      <c r="C128" s="7"/>
    </row>
    <row r="129" spans="1:5" x14ac:dyDescent="0.25">
      <c r="A129" s="12" t="str">
        <f>DEC2HEX(_xlfn.BITLSHIFT(_xlfn.BITRSHIFT(HEX2DEC(C129),5),5),8)</f>
        <v>00000000</v>
      </c>
      <c r="B129" s="6" t="s">
        <v>18</v>
      </c>
      <c r="C129" s="16" t="s">
        <v>73</v>
      </c>
      <c r="D129" s="11" t="s">
        <v>39</v>
      </c>
      <c r="E129" s="14" t="str">
        <f>"0x"&amp;DEC2HEX(_xlfn.BITLSHIFT(_xlfn.BITRSHIFT(HEX2DEC(C129),5),5),8)</f>
        <v>0x00000000</v>
      </c>
    </row>
    <row r="130" spans="1:5" x14ac:dyDescent="0.25">
      <c r="A130" s="4" t="str">
        <f>DEC2HEX(_xlfn.BITLSHIFT(_xlfn.BITRSHIFT(HEX2DEC(C130),5),5)-1,8)</f>
        <v>0000001F</v>
      </c>
      <c r="B130" s="6" t="s">
        <v>44</v>
      </c>
      <c r="C130" s="16" t="s">
        <v>74</v>
      </c>
      <c r="D130" s="11" t="s">
        <v>38</v>
      </c>
      <c r="E130" s="13" t="str">
        <f>"0x"&amp;DEC2HEX(_xlfn.BITLSHIFT(_xlfn.BITRSHIFT(HEX2DEC(C130),5),5)-1,8)</f>
        <v>0x0000001F</v>
      </c>
    </row>
    <row r="131" spans="1:5" x14ac:dyDescent="0.25">
      <c r="A131" s="4">
        <v>1</v>
      </c>
      <c r="B131" s="6" t="s">
        <v>14</v>
      </c>
      <c r="C131" s="7"/>
      <c r="D131" s="11" t="s">
        <v>37</v>
      </c>
      <c r="E131" s="15" t="str">
        <f>"0x"&amp;TEXT(DEC2HEX(HEX2DEC(C130)-HEX2DEC(C129),8),"00000000")</f>
        <v>0x00000020</v>
      </c>
    </row>
    <row r="132" spans="1:5" x14ac:dyDescent="0.25">
      <c r="A132" s="4" t="b">
        <v>0</v>
      </c>
      <c r="B132" s="6" t="s">
        <v>15</v>
      </c>
      <c r="C132" s="7"/>
      <c r="D132" s="11"/>
      <c r="E132" s="15" t="str">
        <f>IF(HEX2DEC(RIGHT(E131,8))&gt;=1024,(HEX2DEC(RIGHT(E131,8))/1024)&amp;" kB",HEX2DEC(RIGHT(E131,8))&amp;" byte")</f>
        <v>32 byte</v>
      </c>
    </row>
    <row r="133" spans="1:5" x14ac:dyDescent="0.25">
      <c r="A133" s="4" t="b">
        <v>0</v>
      </c>
      <c r="B133" s="6" t="s">
        <v>49</v>
      </c>
      <c r="C133" s="7"/>
    </row>
    <row r="134" spans="1:5" x14ac:dyDescent="0.25">
      <c r="A134" s="4">
        <v>1</v>
      </c>
      <c r="B134" s="6" t="s">
        <v>16</v>
      </c>
      <c r="C134" s="7"/>
    </row>
    <row r="135" spans="1:5" ht="15.75" thickBot="1" x14ac:dyDescent="0.3">
      <c r="A135" s="4">
        <v>1</v>
      </c>
      <c r="B135" s="8" t="s">
        <v>50</v>
      </c>
      <c r="C135" s="9"/>
    </row>
    <row r="136" spans="1:5" ht="9" customHeight="1" thickBot="1" x14ac:dyDescent="0.3">
      <c r="A136" s="20">
        <f>A126+1</f>
        <v>13</v>
      </c>
    </row>
    <row r="137" spans="1:5" x14ac:dyDescent="0.25">
      <c r="A137" s="4" t="b">
        <v>0</v>
      </c>
      <c r="B137" s="5" t="str">
        <f>"MPU_NS Region "&amp;A136</f>
        <v>MPU_NS Region 13</v>
      </c>
      <c r="C137" s="10"/>
    </row>
    <row r="138" spans="1:5" x14ac:dyDescent="0.25">
      <c r="A138" s="4" t="b">
        <v>1</v>
      </c>
      <c r="B138" s="6" t="s">
        <v>17</v>
      </c>
      <c r="C138" s="7"/>
    </row>
    <row r="139" spans="1:5" x14ac:dyDescent="0.25">
      <c r="A139" s="12" t="str">
        <f>DEC2HEX(_xlfn.BITLSHIFT(_xlfn.BITRSHIFT(HEX2DEC(C139),5),5),8)</f>
        <v>00000000</v>
      </c>
      <c r="B139" s="6" t="s">
        <v>18</v>
      </c>
      <c r="C139" s="16" t="s">
        <v>73</v>
      </c>
      <c r="D139" s="11" t="s">
        <v>39</v>
      </c>
      <c r="E139" s="14" t="str">
        <f>"0x"&amp;DEC2HEX(_xlfn.BITLSHIFT(_xlfn.BITRSHIFT(HEX2DEC(C139),5),5),8)</f>
        <v>0x00000000</v>
      </c>
    </row>
    <row r="140" spans="1:5" x14ac:dyDescent="0.25">
      <c r="A140" s="4" t="str">
        <f>DEC2HEX(_xlfn.BITLSHIFT(_xlfn.BITRSHIFT(HEX2DEC(C140),5),5)-1,8)</f>
        <v>0000001F</v>
      </c>
      <c r="B140" s="6" t="s">
        <v>44</v>
      </c>
      <c r="C140" s="16" t="s">
        <v>74</v>
      </c>
      <c r="D140" s="11" t="s">
        <v>38</v>
      </c>
      <c r="E140" s="13" t="str">
        <f>"0x"&amp;DEC2HEX(_xlfn.BITLSHIFT(_xlfn.BITRSHIFT(HEX2DEC(C140),5),5)-1,8)</f>
        <v>0x0000001F</v>
      </c>
    </row>
    <row r="141" spans="1:5" x14ac:dyDescent="0.25">
      <c r="A141" s="4">
        <v>1</v>
      </c>
      <c r="B141" s="6" t="s">
        <v>14</v>
      </c>
      <c r="C141" s="7"/>
      <c r="D141" s="11" t="s">
        <v>37</v>
      </c>
      <c r="E141" s="15" t="str">
        <f>"0x"&amp;TEXT(DEC2HEX(HEX2DEC(C140)-HEX2DEC(C139),8),"00000000")</f>
        <v>0x00000020</v>
      </c>
    </row>
    <row r="142" spans="1:5" x14ac:dyDescent="0.25">
      <c r="A142" s="4" t="b">
        <v>0</v>
      </c>
      <c r="B142" s="6" t="s">
        <v>15</v>
      </c>
      <c r="C142" s="7"/>
      <c r="D142" s="11"/>
      <c r="E142" s="15" t="str">
        <f>IF(HEX2DEC(RIGHT(E141,8))&gt;=1024,(HEX2DEC(RIGHT(E141,8))/1024)&amp;" kB",HEX2DEC(RIGHT(E141,8))&amp;" byte")</f>
        <v>32 byte</v>
      </c>
    </row>
    <row r="143" spans="1:5" x14ac:dyDescent="0.25">
      <c r="A143" s="4" t="b">
        <v>0</v>
      </c>
      <c r="B143" s="6" t="s">
        <v>49</v>
      </c>
      <c r="C143" s="7"/>
    </row>
    <row r="144" spans="1:5" x14ac:dyDescent="0.25">
      <c r="A144" s="4">
        <v>1</v>
      </c>
      <c r="B144" s="6" t="s">
        <v>16</v>
      </c>
      <c r="C144" s="7"/>
    </row>
    <row r="145" spans="1:5" ht="15.75" thickBot="1" x14ac:dyDescent="0.3">
      <c r="A145" s="4">
        <v>1</v>
      </c>
      <c r="B145" s="8" t="s">
        <v>50</v>
      </c>
      <c r="C145" s="9"/>
    </row>
    <row r="146" spans="1:5" ht="9" customHeight="1" thickBot="1" x14ac:dyDescent="0.3">
      <c r="A146" s="20">
        <f>A136+1</f>
        <v>14</v>
      </c>
    </row>
    <row r="147" spans="1:5" x14ac:dyDescent="0.25">
      <c r="A147" s="4" t="b">
        <v>0</v>
      </c>
      <c r="B147" s="5" t="str">
        <f>"MPU_NS Region "&amp;A146</f>
        <v>MPU_NS Region 14</v>
      </c>
      <c r="C147" s="10"/>
    </row>
    <row r="148" spans="1:5" x14ac:dyDescent="0.25">
      <c r="A148" s="4" t="b">
        <v>1</v>
      </c>
      <c r="B148" s="6" t="s">
        <v>17</v>
      </c>
      <c r="C148" s="7"/>
    </row>
    <row r="149" spans="1:5" x14ac:dyDescent="0.25">
      <c r="A149" s="12" t="str">
        <f>DEC2HEX(_xlfn.BITLSHIFT(_xlfn.BITRSHIFT(HEX2DEC(C149),5),5),8)</f>
        <v>00000000</v>
      </c>
      <c r="B149" s="6" t="s">
        <v>18</v>
      </c>
      <c r="C149" s="16" t="s">
        <v>73</v>
      </c>
      <c r="D149" s="11" t="s">
        <v>39</v>
      </c>
      <c r="E149" s="14" t="str">
        <f>"0x"&amp;DEC2HEX(_xlfn.BITLSHIFT(_xlfn.BITRSHIFT(HEX2DEC(C149),5),5),8)</f>
        <v>0x00000000</v>
      </c>
    </row>
    <row r="150" spans="1:5" x14ac:dyDescent="0.25">
      <c r="A150" s="4" t="str">
        <f>DEC2HEX(_xlfn.BITLSHIFT(_xlfn.BITRSHIFT(HEX2DEC(C150),5),5)-1,8)</f>
        <v>0000001F</v>
      </c>
      <c r="B150" s="6" t="s">
        <v>44</v>
      </c>
      <c r="C150" s="16" t="s">
        <v>74</v>
      </c>
      <c r="D150" s="11" t="s">
        <v>38</v>
      </c>
      <c r="E150" s="13" t="str">
        <f>"0x"&amp;DEC2HEX(_xlfn.BITLSHIFT(_xlfn.BITRSHIFT(HEX2DEC(C150),5),5)-1,8)</f>
        <v>0x0000001F</v>
      </c>
    </row>
    <row r="151" spans="1:5" x14ac:dyDescent="0.25">
      <c r="A151" s="4">
        <v>1</v>
      </c>
      <c r="B151" s="6" t="s">
        <v>14</v>
      </c>
      <c r="C151" s="7"/>
      <c r="D151" s="11" t="s">
        <v>37</v>
      </c>
      <c r="E151" s="15" t="str">
        <f>"0x"&amp;TEXT(DEC2HEX(HEX2DEC(C150)-HEX2DEC(C149),8),"00000000")</f>
        <v>0x00000020</v>
      </c>
    </row>
    <row r="152" spans="1:5" x14ac:dyDescent="0.25">
      <c r="A152" s="4" t="b">
        <v>0</v>
      </c>
      <c r="B152" s="6" t="s">
        <v>15</v>
      </c>
      <c r="C152" s="7"/>
      <c r="D152" s="11"/>
      <c r="E152" s="15" t="str">
        <f>IF(HEX2DEC(RIGHT(E151,8))&gt;=1024,(HEX2DEC(RIGHT(E151,8))/1024)&amp;" kB",HEX2DEC(RIGHT(E151,8))&amp;" byte")</f>
        <v>32 byte</v>
      </c>
    </row>
    <row r="153" spans="1:5" x14ac:dyDescent="0.25">
      <c r="A153" s="4" t="b">
        <v>0</v>
      </c>
      <c r="B153" s="6" t="s">
        <v>49</v>
      </c>
      <c r="C153" s="7"/>
    </row>
    <row r="154" spans="1:5" x14ac:dyDescent="0.25">
      <c r="A154" s="4">
        <v>1</v>
      </c>
      <c r="B154" s="6" t="s">
        <v>16</v>
      </c>
      <c r="C154" s="7"/>
    </row>
    <row r="155" spans="1:5" ht="15.75" thickBot="1" x14ac:dyDescent="0.3">
      <c r="A155" s="4">
        <v>1</v>
      </c>
      <c r="B155" s="8" t="s">
        <v>50</v>
      </c>
      <c r="C155" s="9"/>
    </row>
    <row r="156" spans="1:5" ht="9" customHeight="1" thickBot="1" x14ac:dyDescent="0.3">
      <c r="A156" s="20">
        <f>A146+1</f>
        <v>15</v>
      </c>
    </row>
    <row r="157" spans="1:5" x14ac:dyDescent="0.25">
      <c r="A157" s="4" t="b">
        <v>0</v>
      </c>
      <c r="B157" s="5" t="str">
        <f>"MPU_NS Region "&amp;A156</f>
        <v>MPU_NS Region 15</v>
      </c>
      <c r="C157" s="10"/>
    </row>
    <row r="158" spans="1:5" x14ac:dyDescent="0.25">
      <c r="A158" s="4" t="b">
        <v>1</v>
      </c>
      <c r="B158" s="6" t="s">
        <v>17</v>
      </c>
      <c r="C158" s="7"/>
    </row>
    <row r="159" spans="1:5" x14ac:dyDescent="0.25">
      <c r="A159" s="12" t="str">
        <f>DEC2HEX(_xlfn.BITLSHIFT(_xlfn.BITRSHIFT(HEX2DEC(C159),5),5),8)</f>
        <v>00000000</v>
      </c>
      <c r="B159" s="6" t="s">
        <v>18</v>
      </c>
      <c r="C159" s="16" t="s">
        <v>73</v>
      </c>
      <c r="D159" s="11" t="s">
        <v>39</v>
      </c>
      <c r="E159" s="14" t="str">
        <f>"0x"&amp;DEC2HEX(_xlfn.BITLSHIFT(_xlfn.BITRSHIFT(HEX2DEC(C159),5),5),8)</f>
        <v>0x00000000</v>
      </c>
    </row>
    <row r="160" spans="1:5" x14ac:dyDescent="0.25">
      <c r="A160" s="4" t="str">
        <f>DEC2HEX(_xlfn.BITLSHIFT(_xlfn.BITRSHIFT(HEX2DEC(C160),5),5)-1,8)</f>
        <v>0000001F</v>
      </c>
      <c r="B160" s="6" t="s">
        <v>44</v>
      </c>
      <c r="C160" s="16" t="s">
        <v>74</v>
      </c>
      <c r="D160" s="11" t="s">
        <v>38</v>
      </c>
      <c r="E160" s="13" t="str">
        <f>"0x"&amp;DEC2HEX(_xlfn.BITLSHIFT(_xlfn.BITRSHIFT(HEX2DEC(C160),5),5)-1,8)</f>
        <v>0x0000001F</v>
      </c>
    </row>
    <row r="161" spans="1:5" x14ac:dyDescent="0.25">
      <c r="A161" s="4">
        <v>1</v>
      </c>
      <c r="B161" s="6" t="s">
        <v>14</v>
      </c>
      <c r="C161" s="7"/>
      <c r="D161" s="11" t="s">
        <v>37</v>
      </c>
      <c r="E161" s="15" t="str">
        <f>"0x"&amp;TEXT(DEC2HEX(HEX2DEC(C160)-HEX2DEC(C159),8),"00000000")</f>
        <v>0x00000020</v>
      </c>
    </row>
    <row r="162" spans="1:5" x14ac:dyDescent="0.25">
      <c r="A162" s="4" t="b">
        <v>0</v>
      </c>
      <c r="B162" s="6" t="s">
        <v>15</v>
      </c>
      <c r="C162" s="7"/>
      <c r="D162" s="11"/>
      <c r="E162" s="15" t="str">
        <f>IF(HEX2DEC(RIGHT(E161,8))&gt;=1024,(HEX2DEC(RIGHT(E161,8))/1024)&amp;" kB",HEX2DEC(RIGHT(E161,8))&amp;" byte")</f>
        <v>32 byte</v>
      </c>
    </row>
    <row r="163" spans="1:5" x14ac:dyDescent="0.25">
      <c r="A163" s="4" t="b">
        <v>0</v>
      </c>
      <c r="B163" s="6" t="s">
        <v>49</v>
      </c>
      <c r="C163" s="7"/>
    </row>
    <row r="164" spans="1:5" x14ac:dyDescent="0.25">
      <c r="A164" s="4">
        <v>1</v>
      </c>
      <c r="B164" s="6" t="s">
        <v>16</v>
      </c>
      <c r="C164" s="7"/>
    </row>
    <row r="165" spans="1:5" ht="15.75" thickBot="1" x14ac:dyDescent="0.3">
      <c r="A165" s="4">
        <v>1</v>
      </c>
      <c r="B165" s="8" t="s">
        <v>50</v>
      </c>
      <c r="C165" s="9"/>
    </row>
    <row r="167" spans="1:5" ht="9" customHeight="1" thickBot="1" x14ac:dyDescent="0.3">
      <c r="A167" s="20">
        <v>0</v>
      </c>
    </row>
    <row r="168" spans="1:5" x14ac:dyDescent="0.25">
      <c r="A168" s="4" t="b">
        <v>1</v>
      </c>
      <c r="B168" s="5" t="str">
        <f>"NS Attribution Indirection  "&amp;A167</f>
        <v>NS Attribution Indirection  0</v>
      </c>
      <c r="C168" s="28" t="str">
        <f ca="1">IF(A168,"0x"&amp;DEC2HEX(HEX2DEC(IF(A170&gt;1,INDIRECT("A"&amp;(264+A170)),DEC2HEX((16*IF(A171=1,4,(4*(A171-2))+(2*A172)+A173))+IF(A174=1,4,(4*(A174-2))+(2*A175)+A176),2)  )),2),"")</f>
        <v>0xAA</v>
      </c>
    </row>
    <row r="169" spans="1:5" x14ac:dyDescent="0.25">
      <c r="B169" s="6" t="s">
        <v>104</v>
      </c>
      <c r="C169" s="29" t="s">
        <v>188</v>
      </c>
    </row>
    <row r="170" spans="1:5" x14ac:dyDescent="0.25">
      <c r="A170" s="4">
        <v>6</v>
      </c>
      <c r="B170" s="6" t="s">
        <v>85</v>
      </c>
      <c r="C170" s="7"/>
    </row>
    <row r="171" spans="1:5" x14ac:dyDescent="0.25">
      <c r="A171" s="4">
        <v>4</v>
      </c>
      <c r="B171" s="6" t="s">
        <v>89</v>
      </c>
      <c r="C171" s="7"/>
    </row>
    <row r="172" spans="1:5" x14ac:dyDescent="0.25">
      <c r="A172" s="4" t="b">
        <v>0</v>
      </c>
      <c r="B172" s="6" t="s">
        <v>87</v>
      </c>
      <c r="C172" s="7"/>
    </row>
    <row r="173" spans="1:5" x14ac:dyDescent="0.25">
      <c r="A173" s="4" t="b">
        <v>0</v>
      </c>
      <c r="B173" s="6" t="s">
        <v>88</v>
      </c>
      <c r="C173" s="7"/>
    </row>
    <row r="174" spans="1:5" x14ac:dyDescent="0.25">
      <c r="A174" s="4">
        <v>4</v>
      </c>
      <c r="B174" s="6" t="s">
        <v>90</v>
      </c>
      <c r="C174" s="7"/>
    </row>
    <row r="175" spans="1:5" x14ac:dyDescent="0.25">
      <c r="A175" s="4" t="b">
        <v>0</v>
      </c>
      <c r="B175" s="6" t="s">
        <v>87</v>
      </c>
      <c r="C175" s="7"/>
    </row>
    <row r="176" spans="1:5" ht="15.75" thickBot="1" x14ac:dyDescent="0.3">
      <c r="A176" s="4" t="b">
        <v>0</v>
      </c>
      <c r="B176" s="8" t="s">
        <v>88</v>
      </c>
      <c r="C176" s="9"/>
    </row>
    <row r="177" spans="1:3" ht="9" customHeight="1" thickBot="1" x14ac:dyDescent="0.3">
      <c r="A177" s="20">
        <f>A167+1</f>
        <v>1</v>
      </c>
    </row>
    <row r="178" spans="1:3" x14ac:dyDescent="0.25">
      <c r="A178" s="4" t="b">
        <v>0</v>
      </c>
      <c r="B178" s="5" t="str">
        <f>"NS Attribution Indirection "&amp;A177</f>
        <v>NS Attribution Indirection 1</v>
      </c>
      <c r="C178" s="28" t="str">
        <f ca="1">IF(A178,"0x"&amp;DEC2HEX(HEX2DEC(IF(A180&gt;1,INDIRECT("A"&amp;(264+A180)),DEC2HEX((16*IF(A181=1,4,(4*(A181-2))+(2*A182)+A183))+IF(A184=1,4,(4*(A184-2))+(2*A185)+A186),2)  )),2),"")</f>
        <v/>
      </c>
    </row>
    <row r="179" spans="1:3" x14ac:dyDescent="0.25">
      <c r="B179" s="6" t="s">
        <v>104</v>
      </c>
      <c r="C179" s="30" t="s">
        <v>187</v>
      </c>
    </row>
    <row r="180" spans="1:3" x14ac:dyDescent="0.25">
      <c r="A180" s="4">
        <v>7</v>
      </c>
      <c r="B180" s="6" t="s">
        <v>85</v>
      </c>
      <c r="C180" s="7"/>
    </row>
    <row r="181" spans="1:3" x14ac:dyDescent="0.25">
      <c r="A181" s="4">
        <v>1</v>
      </c>
      <c r="B181" s="6" t="s">
        <v>89</v>
      </c>
      <c r="C181" s="7"/>
    </row>
    <row r="182" spans="1:3" x14ac:dyDescent="0.25">
      <c r="A182" s="4" t="b">
        <v>0</v>
      </c>
      <c r="B182" s="6" t="s">
        <v>87</v>
      </c>
      <c r="C182" s="7"/>
    </row>
    <row r="183" spans="1:3" x14ac:dyDescent="0.25">
      <c r="A183" s="4" t="b">
        <v>0</v>
      </c>
      <c r="B183" s="6" t="s">
        <v>88</v>
      </c>
      <c r="C183" s="7"/>
    </row>
    <row r="184" spans="1:3" x14ac:dyDescent="0.25">
      <c r="A184" s="4">
        <v>1</v>
      </c>
      <c r="B184" s="6" t="s">
        <v>90</v>
      </c>
      <c r="C184" s="7"/>
    </row>
    <row r="185" spans="1:3" x14ac:dyDescent="0.25">
      <c r="A185" s="4" t="b">
        <v>0</v>
      </c>
      <c r="B185" s="6" t="s">
        <v>87</v>
      </c>
      <c r="C185" s="7"/>
    </row>
    <row r="186" spans="1:3" ht="15.75" thickBot="1" x14ac:dyDescent="0.3">
      <c r="A186" s="4" t="b">
        <v>0</v>
      </c>
      <c r="B186" s="8" t="s">
        <v>88</v>
      </c>
      <c r="C186" s="9"/>
    </row>
    <row r="187" spans="1:3" ht="9" customHeight="1" thickBot="1" x14ac:dyDescent="0.3">
      <c r="A187" s="20">
        <f>A177+1</f>
        <v>2</v>
      </c>
    </row>
    <row r="188" spans="1:3" x14ac:dyDescent="0.25">
      <c r="A188" s="4" t="b">
        <v>0</v>
      </c>
      <c r="B188" s="5" t="str">
        <f>"NS Attribution Indirection "&amp;A187</f>
        <v>NS Attribution Indirection 2</v>
      </c>
      <c r="C188" s="28" t="str">
        <f ca="1">IF(A188,"0x"&amp;DEC2HEX(HEX2DEC(IF(A190&gt;1,INDIRECT("A"&amp;(264+A190)),DEC2HEX((16*IF(A191=1,4,(4*(A191-2))+(2*A192)+A193))+IF(A194=1,4,(4*(A194-2))+(2*A195)+A196),2)  )),2),"")</f>
        <v/>
      </c>
    </row>
    <row r="189" spans="1:3" x14ac:dyDescent="0.25">
      <c r="B189" s="6" t="s">
        <v>104</v>
      </c>
      <c r="C189" s="29" t="s">
        <v>186</v>
      </c>
    </row>
    <row r="190" spans="1:3" x14ac:dyDescent="0.25">
      <c r="A190" s="4">
        <v>9</v>
      </c>
      <c r="B190" s="6" t="s">
        <v>85</v>
      </c>
      <c r="C190" s="7"/>
    </row>
    <row r="191" spans="1:3" x14ac:dyDescent="0.25">
      <c r="A191" s="4">
        <v>1</v>
      </c>
      <c r="B191" s="6" t="s">
        <v>89</v>
      </c>
      <c r="C191" s="7"/>
    </row>
    <row r="192" spans="1:3" x14ac:dyDescent="0.25">
      <c r="A192" s="4" t="b">
        <v>0</v>
      </c>
      <c r="B192" s="6" t="s">
        <v>87</v>
      </c>
      <c r="C192" s="7"/>
    </row>
    <row r="193" spans="1:3" x14ac:dyDescent="0.25">
      <c r="A193" s="4" t="b">
        <v>0</v>
      </c>
      <c r="B193" s="6" t="s">
        <v>88</v>
      </c>
      <c r="C193" s="7"/>
    </row>
    <row r="194" spans="1:3" x14ac:dyDescent="0.25">
      <c r="A194" s="4">
        <v>1</v>
      </c>
      <c r="B194" s="6" t="s">
        <v>90</v>
      </c>
      <c r="C194" s="7"/>
    </row>
    <row r="195" spans="1:3" x14ac:dyDescent="0.25">
      <c r="A195" s="4" t="b">
        <v>0</v>
      </c>
      <c r="B195" s="6" t="s">
        <v>87</v>
      </c>
      <c r="C195" s="7"/>
    </row>
    <row r="196" spans="1:3" ht="15.75" thickBot="1" x14ac:dyDescent="0.3">
      <c r="A196" s="4" t="b">
        <v>0</v>
      </c>
      <c r="B196" s="8" t="s">
        <v>88</v>
      </c>
      <c r="C196" s="9"/>
    </row>
    <row r="197" spans="1:3" ht="9" customHeight="1" thickBot="1" x14ac:dyDescent="0.3">
      <c r="A197" s="20">
        <f>A187+1</f>
        <v>3</v>
      </c>
    </row>
    <row r="198" spans="1:3" x14ac:dyDescent="0.25">
      <c r="A198" s="4" t="b">
        <v>0</v>
      </c>
      <c r="B198" s="5" t="str">
        <f>"NS Attribution Indirection "&amp;A197</f>
        <v>NS Attribution Indirection 3</v>
      </c>
      <c r="C198" s="28" t="str">
        <f ca="1">IF(A198,"0x"&amp;DEC2HEX(HEX2DEC(IF(A200&gt;1,INDIRECT("A"&amp;(264+A200)),DEC2HEX((16*IF(A201=1,4,(4*(A201-2))+(2*A202)+A203))+IF(A204=1,4,(4*(A204-2))+(2*A205)+A206),2)  )),2),"")</f>
        <v/>
      </c>
    </row>
    <row r="199" spans="1:3" x14ac:dyDescent="0.25">
      <c r="B199" s="6" t="s">
        <v>104</v>
      </c>
      <c r="C199" s="29" t="s">
        <v>139</v>
      </c>
    </row>
    <row r="200" spans="1:3" x14ac:dyDescent="0.25">
      <c r="A200" s="4">
        <v>1</v>
      </c>
      <c r="B200" s="6" t="s">
        <v>85</v>
      </c>
      <c r="C200" s="7"/>
    </row>
    <row r="201" spans="1:3" x14ac:dyDescent="0.25">
      <c r="A201" s="4">
        <v>1</v>
      </c>
      <c r="B201" s="6" t="s">
        <v>89</v>
      </c>
      <c r="C201" s="7"/>
    </row>
    <row r="202" spans="1:3" x14ac:dyDescent="0.25">
      <c r="A202" s="4" t="b">
        <v>0</v>
      </c>
      <c r="B202" s="6" t="s">
        <v>87</v>
      </c>
      <c r="C202" s="7"/>
    </row>
    <row r="203" spans="1:3" x14ac:dyDescent="0.25">
      <c r="A203" s="4" t="b">
        <v>0</v>
      </c>
      <c r="B203" s="6" t="s">
        <v>88</v>
      </c>
      <c r="C203" s="7"/>
    </row>
    <row r="204" spans="1:3" x14ac:dyDescent="0.25">
      <c r="A204" s="4">
        <v>1</v>
      </c>
      <c r="B204" s="6" t="s">
        <v>90</v>
      </c>
      <c r="C204" s="7"/>
    </row>
    <row r="205" spans="1:3" x14ac:dyDescent="0.25">
      <c r="A205" s="4" t="b">
        <v>0</v>
      </c>
      <c r="B205" s="6" t="s">
        <v>87</v>
      </c>
      <c r="C205" s="7"/>
    </row>
    <row r="206" spans="1:3" ht="15.75" thickBot="1" x14ac:dyDescent="0.3">
      <c r="A206" s="4" t="b">
        <v>0</v>
      </c>
      <c r="B206" s="8" t="s">
        <v>88</v>
      </c>
      <c r="C206" s="9"/>
    </row>
    <row r="207" spans="1:3" ht="9" customHeight="1" thickBot="1" x14ac:dyDescent="0.3">
      <c r="A207" s="20">
        <f>A197+1</f>
        <v>4</v>
      </c>
    </row>
    <row r="208" spans="1:3" x14ac:dyDescent="0.25">
      <c r="A208" s="4" t="b">
        <v>0</v>
      </c>
      <c r="B208" s="5" t="str">
        <f>"NS Attribution Indirection "&amp;A207</f>
        <v>NS Attribution Indirection 4</v>
      </c>
      <c r="C208" s="28" t="str">
        <f ca="1">IF(A208,"0x"&amp;DEC2HEX(HEX2DEC(IF(A210&gt;1,INDIRECT("A"&amp;(264+A210)),DEC2HEX((16*IF(A211=1,4,(4*(A211-2))+(2*A212)+A213))+IF(A214=1,4,(4*(A214-2))+(2*A215)+A216),2)  )),2),"")</f>
        <v/>
      </c>
    </row>
    <row r="209" spans="1:3" x14ac:dyDescent="0.25">
      <c r="B209" s="6" t="s">
        <v>104</v>
      </c>
      <c r="C209" s="29" t="s">
        <v>140</v>
      </c>
    </row>
    <row r="210" spans="1:3" x14ac:dyDescent="0.25">
      <c r="A210" s="4">
        <v>1</v>
      </c>
      <c r="B210" s="6" t="s">
        <v>85</v>
      </c>
      <c r="C210" s="7"/>
    </row>
    <row r="211" spans="1:3" x14ac:dyDescent="0.25">
      <c r="A211" s="4">
        <v>2</v>
      </c>
      <c r="B211" s="6" t="s">
        <v>89</v>
      </c>
      <c r="C211" s="7"/>
    </row>
    <row r="212" spans="1:3" x14ac:dyDescent="0.25">
      <c r="A212" s="4" t="b">
        <v>0</v>
      </c>
      <c r="B212" s="6" t="s">
        <v>87</v>
      </c>
      <c r="C212" s="7"/>
    </row>
    <row r="213" spans="1:3" x14ac:dyDescent="0.25">
      <c r="A213" s="4" t="b">
        <v>0</v>
      </c>
      <c r="B213" s="6" t="s">
        <v>88</v>
      </c>
      <c r="C213" s="7"/>
    </row>
    <row r="214" spans="1:3" x14ac:dyDescent="0.25">
      <c r="A214" s="4">
        <v>1</v>
      </c>
      <c r="B214" s="6" t="s">
        <v>90</v>
      </c>
      <c r="C214" s="7"/>
    </row>
    <row r="215" spans="1:3" x14ac:dyDescent="0.25">
      <c r="A215" s="4" t="b">
        <v>0</v>
      </c>
      <c r="B215" s="6" t="s">
        <v>87</v>
      </c>
      <c r="C215" s="7"/>
    </row>
    <row r="216" spans="1:3" ht="15.75" thickBot="1" x14ac:dyDescent="0.3">
      <c r="A216" s="4" t="b">
        <v>0</v>
      </c>
      <c r="B216" s="8" t="s">
        <v>88</v>
      </c>
      <c r="C216" s="9"/>
    </row>
    <row r="217" spans="1:3" ht="9" customHeight="1" thickBot="1" x14ac:dyDescent="0.3">
      <c r="A217" s="20">
        <f>A207+1</f>
        <v>5</v>
      </c>
    </row>
    <row r="218" spans="1:3" x14ac:dyDescent="0.25">
      <c r="A218" s="4" t="b">
        <v>0</v>
      </c>
      <c r="B218" s="5" t="str">
        <f>"NS Attribution Indirection "&amp;A217</f>
        <v>NS Attribution Indirection 5</v>
      </c>
      <c r="C218" s="28" t="str">
        <f ca="1">IF(A218,"0x"&amp;DEC2HEX(HEX2DEC(IF(A220&gt;1,INDIRECT("A"&amp;(264+A220)),DEC2HEX((16*IF(A221=1,4,(4*(A221-2))+(2*A222)+A223))+IF(A224=1,4,(4*(A224-2))+(2*A225)+A226),2)  )),2),"")</f>
        <v/>
      </c>
    </row>
    <row r="219" spans="1:3" x14ac:dyDescent="0.25">
      <c r="B219" s="6" t="s">
        <v>104</v>
      </c>
      <c r="C219" s="29" t="s">
        <v>141</v>
      </c>
    </row>
    <row r="220" spans="1:3" x14ac:dyDescent="0.25">
      <c r="A220" s="4">
        <v>1</v>
      </c>
      <c r="B220" s="6" t="s">
        <v>85</v>
      </c>
      <c r="C220" s="7"/>
    </row>
    <row r="221" spans="1:3" x14ac:dyDescent="0.25">
      <c r="A221" s="4">
        <v>1</v>
      </c>
      <c r="B221" s="6" t="s">
        <v>89</v>
      </c>
      <c r="C221" s="7"/>
    </row>
    <row r="222" spans="1:3" x14ac:dyDescent="0.25">
      <c r="A222" s="4" t="b">
        <v>0</v>
      </c>
      <c r="B222" s="6" t="s">
        <v>87</v>
      </c>
      <c r="C222" s="7"/>
    </row>
    <row r="223" spans="1:3" x14ac:dyDescent="0.25">
      <c r="A223" s="4" t="b">
        <v>0</v>
      </c>
      <c r="B223" s="6" t="s">
        <v>88</v>
      </c>
      <c r="C223" s="7"/>
    </row>
    <row r="224" spans="1:3" x14ac:dyDescent="0.25">
      <c r="A224" s="4">
        <v>1</v>
      </c>
      <c r="B224" s="6" t="s">
        <v>90</v>
      </c>
      <c r="C224" s="7"/>
    </row>
    <row r="225" spans="1:3" x14ac:dyDescent="0.25">
      <c r="A225" s="4" t="b">
        <v>0</v>
      </c>
      <c r="B225" s="6" t="s">
        <v>87</v>
      </c>
      <c r="C225" s="7"/>
    </row>
    <row r="226" spans="1:3" ht="15.75" thickBot="1" x14ac:dyDescent="0.3">
      <c r="A226" s="4" t="b">
        <v>0</v>
      </c>
      <c r="B226" s="8" t="s">
        <v>88</v>
      </c>
      <c r="C226" s="9"/>
    </row>
    <row r="227" spans="1:3" ht="9" customHeight="1" thickBot="1" x14ac:dyDescent="0.3">
      <c r="A227" s="20">
        <f>A217+1</f>
        <v>6</v>
      </c>
    </row>
    <row r="228" spans="1:3" x14ac:dyDescent="0.25">
      <c r="A228" s="4" t="b">
        <v>0</v>
      </c>
      <c r="B228" s="5" t="str">
        <f>"NS Attribution Indirection "&amp;A227</f>
        <v>NS Attribution Indirection 6</v>
      </c>
      <c r="C228" s="28" t="str">
        <f ca="1">IF(A228,"0x"&amp;DEC2HEX(HEX2DEC(IF(A230&gt;1,INDIRECT("A"&amp;(264+A230)),DEC2HEX((16*IF(A231=1,4,(4*(A231-2))+(2*A232)+A233))+IF(A234=1,4,(4*(A234-2))+(2*A235)+A236),2)  )),2),"")</f>
        <v/>
      </c>
    </row>
    <row r="229" spans="1:3" x14ac:dyDescent="0.25">
      <c r="B229" s="6" t="s">
        <v>104</v>
      </c>
      <c r="C229" s="29" t="s">
        <v>142</v>
      </c>
    </row>
    <row r="230" spans="1:3" x14ac:dyDescent="0.25">
      <c r="A230" s="4">
        <v>1</v>
      </c>
      <c r="B230" s="6" t="s">
        <v>85</v>
      </c>
      <c r="C230" s="7"/>
    </row>
    <row r="231" spans="1:3" x14ac:dyDescent="0.25">
      <c r="A231" s="4">
        <v>1</v>
      </c>
      <c r="B231" s="6" t="s">
        <v>89</v>
      </c>
      <c r="C231" s="7"/>
    </row>
    <row r="232" spans="1:3" x14ac:dyDescent="0.25">
      <c r="A232" s="4" t="b">
        <v>0</v>
      </c>
      <c r="B232" s="6" t="s">
        <v>87</v>
      </c>
      <c r="C232" s="7"/>
    </row>
    <row r="233" spans="1:3" x14ac:dyDescent="0.25">
      <c r="A233" s="4" t="b">
        <v>0</v>
      </c>
      <c r="B233" s="6" t="s">
        <v>88</v>
      </c>
      <c r="C233" s="7"/>
    </row>
    <row r="234" spans="1:3" x14ac:dyDescent="0.25">
      <c r="A234" s="4">
        <v>1</v>
      </c>
      <c r="B234" s="6" t="s">
        <v>90</v>
      </c>
      <c r="C234" s="7"/>
    </row>
    <row r="235" spans="1:3" x14ac:dyDescent="0.25">
      <c r="A235" s="4" t="b">
        <v>0</v>
      </c>
      <c r="B235" s="6" t="s">
        <v>87</v>
      </c>
      <c r="C235" s="7"/>
    </row>
    <row r="236" spans="1:3" ht="15.75" thickBot="1" x14ac:dyDescent="0.3">
      <c r="A236" s="4" t="b">
        <v>0</v>
      </c>
      <c r="B236" s="8" t="s">
        <v>88</v>
      </c>
      <c r="C236" s="9"/>
    </row>
    <row r="237" spans="1:3" ht="9" customHeight="1" thickBot="1" x14ac:dyDescent="0.3">
      <c r="A237" s="20">
        <f>A227+1</f>
        <v>7</v>
      </c>
    </row>
    <row r="238" spans="1:3" x14ac:dyDescent="0.25">
      <c r="A238" s="4" t="b">
        <v>0</v>
      </c>
      <c r="B238" s="5" t="str">
        <f>"NS Attribution Indirection "&amp;A237</f>
        <v>NS Attribution Indirection 7</v>
      </c>
      <c r="C238" s="28" t="str">
        <f ca="1">IF(A238,"0x"&amp;DEC2HEX(HEX2DEC(IF(A240&gt;1,INDIRECT("A"&amp;(264+A240)),DEC2HEX((16*IF(A241=1,4,(4*(A241-2))+(2*A242)+A243))+IF(A244=1,4,(4*(A244-2))+(2*A245)+A246),2)  )),2),"")</f>
        <v/>
      </c>
    </row>
    <row r="239" spans="1:3" x14ac:dyDescent="0.25">
      <c r="B239" s="6" t="s">
        <v>104</v>
      </c>
      <c r="C239" s="29" t="s">
        <v>190</v>
      </c>
    </row>
    <row r="240" spans="1:3" x14ac:dyDescent="0.25">
      <c r="A240" s="4">
        <v>1</v>
      </c>
      <c r="B240" s="6" t="s">
        <v>85</v>
      </c>
      <c r="C240" s="7"/>
    </row>
    <row r="241" spans="1:3" x14ac:dyDescent="0.25">
      <c r="A241" s="4">
        <v>1</v>
      </c>
      <c r="B241" s="6" t="s">
        <v>89</v>
      </c>
      <c r="C241" s="7"/>
    </row>
    <row r="242" spans="1:3" x14ac:dyDescent="0.25">
      <c r="A242" s="4" t="b">
        <v>0</v>
      </c>
      <c r="B242" s="6" t="s">
        <v>87</v>
      </c>
      <c r="C242" s="7"/>
    </row>
    <row r="243" spans="1:3" x14ac:dyDescent="0.25">
      <c r="A243" s="4" t="b">
        <v>0</v>
      </c>
      <c r="B243" s="6" t="s">
        <v>88</v>
      </c>
      <c r="C243" s="7"/>
    </row>
    <row r="244" spans="1:3" x14ac:dyDescent="0.25">
      <c r="A244" s="4">
        <v>1</v>
      </c>
      <c r="B244" s="6" t="s">
        <v>90</v>
      </c>
      <c r="C244" s="7"/>
    </row>
    <row r="245" spans="1:3" x14ac:dyDescent="0.25">
      <c r="A245" s="4" t="b">
        <v>0</v>
      </c>
      <c r="B245" s="6" t="s">
        <v>87</v>
      </c>
      <c r="C245" s="7"/>
    </row>
    <row r="246" spans="1:3" ht="15.75" thickBot="1" x14ac:dyDescent="0.3">
      <c r="A246" s="4" t="b">
        <v>0</v>
      </c>
      <c r="B246" s="8" t="s">
        <v>88</v>
      </c>
      <c r="C246" s="9"/>
    </row>
    <row r="249" spans="1:3" hidden="1" x14ac:dyDescent="0.25">
      <c r="B249" s="1" t="s">
        <v>45</v>
      </c>
    </row>
    <row r="250" spans="1:3" hidden="1" x14ac:dyDescent="0.25">
      <c r="B250" t="s">
        <v>48</v>
      </c>
    </row>
    <row r="251" spans="1:3" hidden="1" x14ac:dyDescent="0.25">
      <c r="B251" t="s">
        <v>46</v>
      </c>
    </row>
    <row r="252" spans="1:3" hidden="1" x14ac:dyDescent="0.25">
      <c r="B252" t="s">
        <v>47</v>
      </c>
    </row>
    <row r="253" spans="1:3" hidden="1" x14ac:dyDescent="0.25">
      <c r="B253" t="s">
        <v>67</v>
      </c>
    </row>
    <row r="254" spans="1:3" hidden="1" x14ac:dyDescent="0.25">
      <c r="B254" t="s">
        <v>68</v>
      </c>
    </row>
    <row r="255" spans="1:3" hidden="1" x14ac:dyDescent="0.25">
      <c r="B255" t="s">
        <v>65</v>
      </c>
    </row>
    <row r="256" spans="1:3" hidden="1" x14ac:dyDescent="0.25">
      <c r="B256" t="s">
        <v>66</v>
      </c>
    </row>
    <row r="257" spans="1:2" hidden="1" x14ac:dyDescent="0.25">
      <c r="A257" s="4">
        <v>169</v>
      </c>
      <c r="B257" t="str" cm="1">
        <f t="array" aca="1" ref="B257" ca="1">"Attr Indir 0  "&amp;IF(INDIRECT("A"&amp;(A257-1)),INDIRECT("C"&amp;A257)," -NO INIT-")</f>
        <v>Attr Indir 0  FLASH (NonShare)</v>
      </c>
    </row>
    <row r="258" spans="1:2" hidden="1" x14ac:dyDescent="0.25">
      <c r="A258" s="4">
        <v>179</v>
      </c>
      <c r="B258" t="str" cm="1">
        <f t="array" aca="1" ref="B258" ca="1">"Attr Indir 1  "&amp;IF(INDIRECT("A"&amp;(A258-1)),INDIRECT("C"&amp;A258)," -NO INIT-")</f>
        <v>Attr Indir 1   -NO INIT-</v>
      </c>
    </row>
    <row r="259" spans="1:2" hidden="1" x14ac:dyDescent="0.25">
      <c r="A259" s="4">
        <v>189</v>
      </c>
      <c r="B259" t="str" cm="1">
        <f t="array" aca="1" ref="B259" ca="1">"Attr Indir 2  "&amp;IF(INDIRECT("A"&amp;(A259-1)),INDIRECT("C"&amp;A259)," -NO INIT-")</f>
        <v>Attr Indir 2   -NO INIT-</v>
      </c>
    </row>
    <row r="260" spans="1:2" hidden="1" x14ac:dyDescent="0.25">
      <c r="A260" s="4">
        <v>199</v>
      </c>
      <c r="B260" t="str" cm="1">
        <f t="array" aca="1" ref="B260" ca="1">"Attr Indir 3  "&amp;IF(INDIRECT("A"&amp;(A260-1)),INDIRECT("C"&amp;A260)," -NO INIT-")</f>
        <v>Attr Indir 3   -NO INIT-</v>
      </c>
    </row>
    <row r="261" spans="1:2" hidden="1" x14ac:dyDescent="0.25">
      <c r="A261" s="4">
        <v>209</v>
      </c>
      <c r="B261" t="str" cm="1">
        <f t="array" aca="1" ref="B261" ca="1">"Attr Indir 4  "&amp;IF(INDIRECT("A"&amp;(A261-1)),INDIRECT("C"&amp;A261)," -NO INIT-")</f>
        <v>Attr Indir 4   -NO INIT-</v>
      </c>
    </row>
    <row r="262" spans="1:2" hidden="1" x14ac:dyDescent="0.25">
      <c r="A262" s="4">
        <v>219</v>
      </c>
      <c r="B262" t="str" cm="1">
        <f t="array" aca="1" ref="B262" ca="1">"Attr Indir 5  "&amp;IF(INDIRECT("A"&amp;(A262-1)),INDIRECT("C"&amp;A262)," -NO INIT-")</f>
        <v>Attr Indir 5   -NO INIT-</v>
      </c>
    </row>
    <row r="263" spans="1:2" hidden="1" x14ac:dyDescent="0.25">
      <c r="A263" s="4">
        <v>229</v>
      </c>
      <c r="B263" t="str" cm="1">
        <f t="array" aca="1" ref="B263" ca="1">"Attr Indir 6  "&amp;IF(INDIRECT("A"&amp;(A263-1)),INDIRECT("C"&amp;A263)," -NO INIT-")</f>
        <v>Attr Indir 6   -NO INIT-</v>
      </c>
    </row>
    <row r="264" spans="1:2" hidden="1" x14ac:dyDescent="0.25">
      <c r="A264" s="4">
        <v>239</v>
      </c>
      <c r="B264" t="str" cm="1">
        <f t="array" aca="1" ref="B264" ca="1">"Attr Indir 7  "&amp;IF(INDIRECT("A"&amp;(A264-1)),INDIRECT("C"&amp;A264)," -NO INIT-")</f>
        <v>Attr Indir 7   -NO INIT-</v>
      </c>
    </row>
    <row r="265" spans="1:2" hidden="1" x14ac:dyDescent="0.25">
      <c r="A265" s="22">
        <v>1</v>
      </c>
      <c r="B265" t="s">
        <v>99</v>
      </c>
    </row>
    <row r="266" spans="1:2" hidden="1" x14ac:dyDescent="0.25">
      <c r="A266" s="22">
        <v>0</v>
      </c>
      <c r="B266" t="s">
        <v>95</v>
      </c>
    </row>
    <row r="267" spans="1:2" hidden="1" x14ac:dyDescent="0.25">
      <c r="A267" s="22">
        <v>4</v>
      </c>
      <c r="B267" t="s">
        <v>96</v>
      </c>
    </row>
    <row r="268" spans="1:2" hidden="1" x14ac:dyDescent="0.25">
      <c r="A268" s="22">
        <v>8</v>
      </c>
      <c r="B268" t="s">
        <v>97</v>
      </c>
    </row>
    <row r="269" spans="1:2" hidden="1" x14ac:dyDescent="0.25">
      <c r="A269" s="22" t="s">
        <v>105</v>
      </c>
      <c r="B269" t="s">
        <v>98</v>
      </c>
    </row>
    <row r="270" spans="1:2" hidden="1" x14ac:dyDescent="0.25">
      <c r="A270" s="22" t="s">
        <v>106</v>
      </c>
      <c r="B270" t="s">
        <v>103</v>
      </c>
    </row>
    <row r="271" spans="1:2" hidden="1" x14ac:dyDescent="0.25">
      <c r="A271" s="22" t="s">
        <v>106</v>
      </c>
      <c r="B271" t="s">
        <v>100</v>
      </c>
    </row>
    <row r="272" spans="1:2" hidden="1" x14ac:dyDescent="0.25">
      <c r="A272" s="22" t="s">
        <v>107</v>
      </c>
      <c r="B272" t="s">
        <v>101</v>
      </c>
    </row>
    <row r="273" spans="1:3" hidden="1" x14ac:dyDescent="0.25">
      <c r="A273" s="22">
        <v>0</v>
      </c>
      <c r="B273" t="s">
        <v>102</v>
      </c>
    </row>
    <row r="274" spans="1:3" hidden="1" x14ac:dyDescent="0.25">
      <c r="A274" s="22">
        <v>1</v>
      </c>
      <c r="B274" t="s">
        <v>86</v>
      </c>
    </row>
    <row r="275" spans="1:3" hidden="1" x14ac:dyDescent="0.25">
      <c r="A275" s="22">
        <v>0</v>
      </c>
      <c r="B275" t="s">
        <v>108</v>
      </c>
    </row>
    <row r="276" spans="1:3" hidden="1" x14ac:dyDescent="0.25">
      <c r="A276" s="22">
        <v>4</v>
      </c>
      <c r="B276" t="s">
        <v>110</v>
      </c>
    </row>
    <row r="277" spans="1:3" hidden="1" x14ac:dyDescent="0.25">
      <c r="A277" s="22">
        <v>8</v>
      </c>
      <c r="B277" t="s">
        <v>109</v>
      </c>
    </row>
    <row r="278" spans="1:3" hidden="1" x14ac:dyDescent="0.25">
      <c r="A278" s="22" t="s">
        <v>105</v>
      </c>
      <c r="B278" t="s">
        <v>111</v>
      </c>
    </row>
    <row r="279" spans="1:3" hidden="1" x14ac:dyDescent="0.25"/>
    <row r="280" spans="1:3" hidden="1" x14ac:dyDescent="0.25">
      <c r="A280" s="4">
        <v>0</v>
      </c>
      <c r="B280" t="s">
        <v>94</v>
      </c>
      <c r="C280" s="21">
        <v>2</v>
      </c>
    </row>
    <row r="281" spans="1:3" hidden="1" x14ac:dyDescent="0.25">
      <c r="A281" s="4">
        <v>1</v>
      </c>
      <c r="B281" t="s">
        <v>93</v>
      </c>
      <c r="C281" s="21">
        <v>3</v>
      </c>
    </row>
    <row r="282" spans="1:3" hidden="1" x14ac:dyDescent="0.25">
      <c r="A282" s="4">
        <v>2</v>
      </c>
      <c r="B282" t="s">
        <v>92</v>
      </c>
      <c r="C282" s="21">
        <v>2</v>
      </c>
    </row>
    <row r="283" spans="1:3" hidden="1" x14ac:dyDescent="0.25">
      <c r="A283" s="4">
        <v>3</v>
      </c>
      <c r="B283" t="s">
        <v>91</v>
      </c>
      <c r="C283" s="21">
        <v>3</v>
      </c>
    </row>
    <row r="655" spans="1:1" x14ac:dyDescent="0.25">
      <c r="A655" s="4">
        <v>1</v>
      </c>
    </row>
    <row r="2228" spans="1:1" x14ac:dyDescent="0.25">
      <c r="A2228" s="4" t="b">
        <v>1</v>
      </c>
    </row>
  </sheetData>
  <sheetProtection sheet="1" selectLockedCells="1"/>
  <conditionalFormatting sqref="B4:C5">
    <cfRule type="expression" dxfId="105" priority="127">
      <formula>NOT($A$3)</formula>
    </cfRule>
  </conditionalFormatting>
  <conditionalFormatting sqref="B8:C15">
    <cfRule type="expression" dxfId="104" priority="107">
      <formula>NOT($A$7)</formula>
    </cfRule>
  </conditionalFormatting>
  <conditionalFormatting sqref="B18:C25">
    <cfRule type="expression" dxfId="103" priority="108">
      <formula>NOT($A$17)</formula>
    </cfRule>
  </conditionalFormatting>
  <conditionalFormatting sqref="B28:C35">
    <cfRule type="expression" dxfId="102" priority="109">
      <formula>NOT($A$27)</formula>
    </cfRule>
  </conditionalFormatting>
  <conditionalFormatting sqref="B38:C45">
    <cfRule type="expression" dxfId="101" priority="106">
      <formula>NOT($A$37)</formula>
    </cfRule>
  </conditionalFormatting>
  <conditionalFormatting sqref="B48:C55">
    <cfRule type="expression" dxfId="100" priority="40">
      <formula>NOT($A$47)</formula>
    </cfRule>
  </conditionalFormatting>
  <conditionalFormatting sqref="B58:C65">
    <cfRule type="expression" dxfId="99" priority="101">
      <formula>NOT($A$57)</formula>
    </cfRule>
  </conditionalFormatting>
  <conditionalFormatting sqref="B68:C75">
    <cfRule type="expression" dxfId="98" priority="39">
      <formula>NOT($A$67)</formula>
    </cfRule>
  </conditionalFormatting>
  <conditionalFormatting sqref="B78:C85">
    <cfRule type="expression" dxfId="97" priority="38">
      <formula>NOT($A$77)</formula>
    </cfRule>
  </conditionalFormatting>
  <conditionalFormatting sqref="B88:C95">
    <cfRule type="expression" dxfId="96" priority="37">
      <formula>NOT($A$87)</formula>
    </cfRule>
  </conditionalFormatting>
  <conditionalFormatting sqref="B98:C105">
    <cfRule type="expression" dxfId="95" priority="36">
      <formula>NOT($A$97)</formula>
    </cfRule>
  </conditionalFormatting>
  <conditionalFormatting sqref="B108:C115">
    <cfRule type="expression" dxfId="94" priority="35">
      <formula>NOT($A$107)</formula>
    </cfRule>
  </conditionalFormatting>
  <conditionalFormatting sqref="B118:C125">
    <cfRule type="expression" dxfId="93" priority="34">
      <formula>NOT($A$117)</formula>
    </cfRule>
  </conditionalFormatting>
  <conditionalFormatting sqref="B128:C135">
    <cfRule type="expression" dxfId="92" priority="33">
      <formula>NOT($A$127)</formula>
    </cfRule>
  </conditionalFormatting>
  <conditionalFormatting sqref="B138:C145">
    <cfRule type="expression" dxfId="91" priority="32">
      <formula>NOT($A$137)</formula>
    </cfRule>
  </conditionalFormatting>
  <conditionalFormatting sqref="B148:C155">
    <cfRule type="expression" dxfId="90" priority="31">
      <formula>NOT($A$147)</formula>
    </cfRule>
  </conditionalFormatting>
  <conditionalFormatting sqref="B158:C165">
    <cfRule type="expression" dxfId="89" priority="30">
      <formula>NOT($A$157)</formula>
    </cfRule>
  </conditionalFormatting>
  <conditionalFormatting sqref="B169:C176">
    <cfRule type="expression" dxfId="88" priority="53">
      <formula>NOT($A$168)</formula>
    </cfRule>
  </conditionalFormatting>
  <conditionalFormatting sqref="B171:C176">
    <cfRule type="expression" dxfId="87" priority="55">
      <formula>$A$170&gt;1</formula>
    </cfRule>
  </conditionalFormatting>
  <conditionalFormatting sqref="B179:C186">
    <cfRule type="expression" dxfId="86" priority="50">
      <formula>NOT($A$178)</formula>
    </cfRule>
  </conditionalFormatting>
  <conditionalFormatting sqref="B181:C186">
    <cfRule type="expression" dxfId="85" priority="56">
      <formula>$A$180&gt;1</formula>
    </cfRule>
  </conditionalFormatting>
  <conditionalFormatting sqref="B189:C196">
    <cfRule type="expression" dxfId="84" priority="49">
      <formula>NOT($A$188)</formula>
    </cfRule>
  </conditionalFormatting>
  <conditionalFormatting sqref="B191:C196">
    <cfRule type="expression" dxfId="83" priority="47">
      <formula>$A$190&gt;1</formula>
    </cfRule>
  </conditionalFormatting>
  <conditionalFormatting sqref="B199:C206">
    <cfRule type="expression" dxfId="82" priority="48">
      <formula>NOT($A$198)</formula>
    </cfRule>
  </conditionalFormatting>
  <conditionalFormatting sqref="B201:C206">
    <cfRule type="expression" dxfId="81" priority="54">
      <formula>$A$200&gt;1</formula>
    </cfRule>
  </conditionalFormatting>
  <conditionalFormatting sqref="B209:C216">
    <cfRule type="expression" dxfId="80" priority="46">
      <formula>NOT($A$208)</formula>
    </cfRule>
  </conditionalFormatting>
  <conditionalFormatting sqref="B211:C216">
    <cfRule type="expression" dxfId="79" priority="45">
      <formula>$A$210&gt;1</formula>
    </cfRule>
  </conditionalFormatting>
  <conditionalFormatting sqref="B219:C226">
    <cfRule type="expression" dxfId="78" priority="44">
      <formula>NOT($A$218)</formula>
    </cfRule>
  </conditionalFormatting>
  <conditionalFormatting sqref="B221:C226">
    <cfRule type="expression" dxfId="77" priority="43">
      <formula>$A$220&gt;1</formula>
    </cfRule>
  </conditionalFormatting>
  <conditionalFormatting sqref="B229:C236">
    <cfRule type="expression" dxfId="76" priority="3">
      <formula>NOT($A$228)</formula>
    </cfRule>
  </conditionalFormatting>
  <conditionalFormatting sqref="B231:C236">
    <cfRule type="expression" dxfId="75" priority="52">
      <formula>$A$230&gt;1</formula>
    </cfRule>
  </conditionalFormatting>
  <conditionalFormatting sqref="B239:C246">
    <cfRule type="expression" dxfId="74" priority="41">
      <formula>NOT($A$238)</formula>
    </cfRule>
  </conditionalFormatting>
  <conditionalFormatting sqref="B241:C246">
    <cfRule type="expression" dxfId="73" priority="51">
      <formula>$A$240&gt;1</formula>
    </cfRule>
  </conditionalFormatting>
  <conditionalFormatting sqref="C3">
    <cfRule type="expression" dxfId="72" priority="125">
      <formula>$A$3</formula>
    </cfRule>
  </conditionalFormatting>
  <conditionalFormatting sqref="C7">
    <cfRule type="expression" dxfId="71" priority="126">
      <formula>$A$7</formula>
    </cfRule>
  </conditionalFormatting>
  <conditionalFormatting sqref="C9">
    <cfRule type="expression" dxfId="70" priority="122">
      <formula>(HEX2DEC(C9)=HEX2DEC(A9))</formula>
    </cfRule>
  </conditionalFormatting>
  <conditionalFormatting sqref="C10">
    <cfRule type="expression" dxfId="69" priority="123">
      <formula>(HEX2DEC(C10)=(HEX2DEC(A10)+1))</formula>
    </cfRule>
  </conditionalFormatting>
  <conditionalFormatting sqref="C17">
    <cfRule type="expression" dxfId="68" priority="121">
      <formula>$A$17</formula>
    </cfRule>
  </conditionalFormatting>
  <conditionalFormatting sqref="C19">
    <cfRule type="expression" dxfId="67" priority="118">
      <formula>(HEX2DEC(C19)=HEX2DEC(A19))</formula>
    </cfRule>
  </conditionalFormatting>
  <conditionalFormatting sqref="C20">
    <cfRule type="expression" dxfId="66" priority="119">
      <formula>(HEX2DEC(C20)=(HEX2DEC(A20)+1))</formula>
    </cfRule>
  </conditionalFormatting>
  <conditionalFormatting sqref="C27">
    <cfRule type="expression" dxfId="65" priority="114">
      <formula>$A$27</formula>
    </cfRule>
  </conditionalFormatting>
  <conditionalFormatting sqref="C29">
    <cfRule type="expression" dxfId="64" priority="115">
      <formula>(HEX2DEC(C29)=HEX2DEC(A29))</formula>
    </cfRule>
  </conditionalFormatting>
  <conditionalFormatting sqref="C30">
    <cfRule type="expression" dxfId="63" priority="116">
      <formula>(HEX2DEC(C30)=(HEX2DEC(A30)+1))</formula>
    </cfRule>
  </conditionalFormatting>
  <conditionalFormatting sqref="C37">
    <cfRule type="expression" dxfId="62" priority="110">
      <formula>$A$37</formula>
    </cfRule>
  </conditionalFormatting>
  <conditionalFormatting sqref="C39">
    <cfRule type="expression" dxfId="61" priority="111">
      <formula>(HEX2DEC(C39)=HEX2DEC(A39))</formula>
    </cfRule>
  </conditionalFormatting>
  <conditionalFormatting sqref="C40">
    <cfRule type="expression" dxfId="60" priority="112">
      <formula>(HEX2DEC(C40)=(HEX2DEC(A40)+1))</formula>
    </cfRule>
  </conditionalFormatting>
  <conditionalFormatting sqref="C47">
    <cfRule type="expression" dxfId="59" priority="102">
      <formula>$A$47</formula>
    </cfRule>
  </conditionalFormatting>
  <conditionalFormatting sqref="C49">
    <cfRule type="expression" dxfId="58" priority="103">
      <formula>(HEX2DEC(C49)=HEX2DEC(A49))</formula>
    </cfRule>
  </conditionalFormatting>
  <conditionalFormatting sqref="C50">
    <cfRule type="expression" dxfId="57" priority="104">
      <formula>(HEX2DEC(C50)=(HEX2DEC(A50)+1))</formula>
    </cfRule>
  </conditionalFormatting>
  <conditionalFormatting sqref="C57">
    <cfRule type="expression" dxfId="56" priority="97">
      <formula>$A$57</formula>
    </cfRule>
  </conditionalFormatting>
  <conditionalFormatting sqref="C59">
    <cfRule type="expression" dxfId="55" priority="98">
      <formula>(HEX2DEC(C59)=HEX2DEC(A59))</formula>
    </cfRule>
  </conditionalFormatting>
  <conditionalFormatting sqref="C60">
    <cfRule type="expression" dxfId="54" priority="99">
      <formula>(HEX2DEC(C60)=(HEX2DEC(A60)+1))</formula>
    </cfRule>
  </conditionalFormatting>
  <conditionalFormatting sqref="C67">
    <cfRule type="expression" dxfId="53" priority="93">
      <formula>$A$67</formula>
    </cfRule>
  </conditionalFormatting>
  <conditionalFormatting sqref="C69">
    <cfRule type="expression" dxfId="52" priority="94">
      <formula>(HEX2DEC(C69)=HEX2DEC(A69))</formula>
    </cfRule>
  </conditionalFormatting>
  <conditionalFormatting sqref="C70">
    <cfRule type="expression" dxfId="51" priority="95">
      <formula>(HEX2DEC(C70)=(HEX2DEC(A70)+1))</formula>
    </cfRule>
  </conditionalFormatting>
  <conditionalFormatting sqref="C77">
    <cfRule type="expression" dxfId="50" priority="89">
      <formula>$A$77</formula>
    </cfRule>
  </conditionalFormatting>
  <conditionalFormatting sqref="C79">
    <cfRule type="expression" dxfId="49" priority="90">
      <formula>(HEX2DEC(C79)=HEX2DEC(A79))</formula>
    </cfRule>
  </conditionalFormatting>
  <conditionalFormatting sqref="C80">
    <cfRule type="expression" dxfId="48" priority="91">
      <formula>(HEX2DEC(C80)=(HEX2DEC(A80)+1))</formula>
    </cfRule>
  </conditionalFormatting>
  <conditionalFormatting sqref="C87">
    <cfRule type="expression" dxfId="47" priority="85">
      <formula>$A$87</formula>
    </cfRule>
  </conditionalFormatting>
  <conditionalFormatting sqref="C89">
    <cfRule type="expression" dxfId="46" priority="86">
      <formula>(HEX2DEC(C89)=HEX2DEC(A89))</formula>
    </cfRule>
  </conditionalFormatting>
  <conditionalFormatting sqref="C90">
    <cfRule type="expression" dxfId="45" priority="87">
      <formula>(HEX2DEC(C90)=(HEX2DEC(A90)+1))</formula>
    </cfRule>
  </conditionalFormatting>
  <conditionalFormatting sqref="C97">
    <cfRule type="expression" dxfId="44" priority="81">
      <formula>$A$97</formula>
    </cfRule>
  </conditionalFormatting>
  <conditionalFormatting sqref="C99">
    <cfRule type="expression" dxfId="43" priority="82">
      <formula>(HEX2DEC(C99)=HEX2DEC(A99))</formula>
    </cfRule>
  </conditionalFormatting>
  <conditionalFormatting sqref="C100">
    <cfRule type="expression" dxfId="42" priority="83">
      <formula>(HEX2DEC(C100)=(HEX2DEC(A100)+1))</formula>
    </cfRule>
  </conditionalFormatting>
  <conditionalFormatting sqref="C107">
    <cfRule type="expression" dxfId="41" priority="77">
      <formula>$A$107</formula>
    </cfRule>
  </conditionalFormatting>
  <conditionalFormatting sqref="C109">
    <cfRule type="expression" dxfId="40" priority="78">
      <formula>(HEX2DEC(C109)=HEX2DEC(A109))</formula>
    </cfRule>
  </conditionalFormatting>
  <conditionalFormatting sqref="C110">
    <cfRule type="expression" dxfId="39" priority="79">
      <formula>(HEX2DEC(C110)=(HEX2DEC(A110)+1))</formula>
    </cfRule>
  </conditionalFormatting>
  <conditionalFormatting sqref="C117">
    <cfRule type="expression" dxfId="38" priority="73">
      <formula>$A$117</formula>
    </cfRule>
  </conditionalFormatting>
  <conditionalFormatting sqref="C119">
    <cfRule type="expression" dxfId="37" priority="74">
      <formula>(HEX2DEC(C119)=HEX2DEC(A119))</formula>
    </cfRule>
  </conditionalFormatting>
  <conditionalFormatting sqref="C120">
    <cfRule type="expression" dxfId="36" priority="75">
      <formula>(HEX2DEC(C120)=(HEX2DEC(A120)+1))</formula>
    </cfRule>
  </conditionalFormatting>
  <conditionalFormatting sqref="C127">
    <cfRule type="expression" dxfId="35" priority="69">
      <formula>$A$127</formula>
    </cfRule>
  </conditionalFormatting>
  <conditionalFormatting sqref="C129">
    <cfRule type="expression" dxfId="34" priority="70">
      <formula>(HEX2DEC(C129)=HEX2DEC(A129))</formula>
    </cfRule>
  </conditionalFormatting>
  <conditionalFormatting sqref="C130">
    <cfRule type="expression" dxfId="33" priority="71">
      <formula>(HEX2DEC(C130)=(HEX2DEC(A130)+1))</formula>
    </cfRule>
  </conditionalFormatting>
  <conditionalFormatting sqref="C137">
    <cfRule type="expression" dxfId="32" priority="65">
      <formula>$A$137</formula>
    </cfRule>
  </conditionalFormatting>
  <conditionalFormatting sqref="C139">
    <cfRule type="expression" dxfId="31" priority="66">
      <formula>(HEX2DEC(C139)=HEX2DEC(A139))</formula>
    </cfRule>
  </conditionalFormatting>
  <conditionalFormatting sqref="C140">
    <cfRule type="expression" dxfId="30" priority="67">
      <formula>(HEX2DEC(C140)=(HEX2DEC(A140)+1))</formula>
    </cfRule>
  </conditionalFormatting>
  <conditionalFormatting sqref="C147">
    <cfRule type="expression" dxfId="29" priority="61">
      <formula>$A$147</formula>
    </cfRule>
  </conditionalFormatting>
  <conditionalFormatting sqref="C149">
    <cfRule type="expression" dxfId="28" priority="62">
      <formula>(HEX2DEC(C149)=HEX2DEC(A149))</formula>
    </cfRule>
  </conditionalFormatting>
  <conditionalFormatting sqref="C150">
    <cfRule type="expression" dxfId="27" priority="63">
      <formula>(HEX2DEC(C150)=(HEX2DEC(A150)+1))</formula>
    </cfRule>
  </conditionalFormatting>
  <conditionalFormatting sqref="C157">
    <cfRule type="expression" dxfId="26" priority="57">
      <formula>$A$157</formula>
    </cfRule>
  </conditionalFormatting>
  <conditionalFormatting sqref="C159">
    <cfRule type="expression" dxfId="25" priority="58">
      <formula>(HEX2DEC(C159)=HEX2DEC(A159))</formula>
    </cfRule>
  </conditionalFormatting>
  <conditionalFormatting sqref="C160">
    <cfRule type="expression" dxfId="24" priority="59">
      <formula>(HEX2DEC(C160)=(HEX2DEC(A160)+1))</formula>
    </cfRule>
  </conditionalFormatting>
  <conditionalFormatting sqref="C168">
    <cfRule type="expression" dxfId="23" priority="11">
      <formula>$A$168</formula>
    </cfRule>
  </conditionalFormatting>
  <conditionalFormatting sqref="C178">
    <cfRule type="expression" dxfId="22" priority="9">
      <formula>$A$178</formula>
    </cfRule>
  </conditionalFormatting>
  <conditionalFormatting sqref="C188">
    <cfRule type="expression" dxfId="21" priority="8">
      <formula>$A$188</formula>
    </cfRule>
  </conditionalFormatting>
  <conditionalFormatting sqref="C198">
    <cfRule type="expression" dxfId="20" priority="7">
      <formula>$A$198</formula>
    </cfRule>
  </conditionalFormatting>
  <conditionalFormatting sqref="C208">
    <cfRule type="expression" dxfId="19" priority="5">
      <formula>$A$208</formula>
    </cfRule>
  </conditionalFormatting>
  <conditionalFormatting sqref="C218">
    <cfRule type="expression" dxfId="18" priority="4">
      <formula>$A$218</formula>
    </cfRule>
  </conditionalFormatting>
  <conditionalFormatting sqref="C228">
    <cfRule type="expression" dxfId="17" priority="2">
      <formula>$A$228</formula>
    </cfRule>
  </conditionalFormatting>
  <conditionalFormatting sqref="C238">
    <cfRule type="expression" dxfId="16" priority="1">
      <formula>$A$238</formula>
    </cfRule>
  </conditionalFormatting>
  <conditionalFormatting sqref="D9:E12">
    <cfRule type="expression" dxfId="15" priority="124">
      <formula>$A$7</formula>
    </cfRule>
  </conditionalFormatting>
  <conditionalFormatting sqref="D19:E22">
    <cfRule type="expression" dxfId="14" priority="120">
      <formula>$A$17</formula>
    </cfRule>
  </conditionalFormatting>
  <conditionalFormatting sqref="D29:E32">
    <cfRule type="expression" dxfId="13" priority="117">
      <formula>$A$27</formula>
    </cfRule>
  </conditionalFormatting>
  <conditionalFormatting sqref="D39:E42">
    <cfRule type="expression" dxfId="12" priority="113">
      <formula>$A$37</formula>
    </cfRule>
  </conditionalFormatting>
  <conditionalFormatting sqref="D49:E52">
    <cfRule type="expression" dxfId="11" priority="12">
      <formula>$A$47</formula>
    </cfRule>
  </conditionalFormatting>
  <conditionalFormatting sqref="D59:E62">
    <cfRule type="expression" dxfId="10" priority="24">
      <formula>$A$57</formula>
    </cfRule>
  </conditionalFormatting>
  <conditionalFormatting sqref="D69:E72">
    <cfRule type="expression" dxfId="9" priority="105">
      <formula>$A$67</formula>
    </cfRule>
  </conditionalFormatting>
  <conditionalFormatting sqref="D79:E82">
    <cfRule type="expression" dxfId="8" priority="92">
      <formula>$A$77</formula>
    </cfRule>
  </conditionalFormatting>
  <conditionalFormatting sqref="D89:E92">
    <cfRule type="expression" dxfId="7" priority="88">
      <formula>$A$87</formula>
    </cfRule>
  </conditionalFormatting>
  <conditionalFormatting sqref="D99:E102">
    <cfRule type="expression" dxfId="6" priority="84">
      <formula>$A$97</formula>
    </cfRule>
  </conditionalFormatting>
  <conditionalFormatting sqref="D109:E112">
    <cfRule type="expression" dxfId="5" priority="80">
      <formula>$A$107</formula>
    </cfRule>
  </conditionalFormatting>
  <conditionalFormatting sqref="D119:E122">
    <cfRule type="expression" dxfId="4" priority="76">
      <formula>$A$117</formula>
    </cfRule>
  </conditionalFormatting>
  <conditionalFormatting sqref="D129:E132">
    <cfRule type="expression" dxfId="3" priority="72">
      <formula>$A$127</formula>
    </cfRule>
  </conditionalFormatting>
  <conditionalFormatting sqref="D139:E142">
    <cfRule type="expression" dxfId="2" priority="68">
      <formula>$A$137</formula>
    </cfRule>
  </conditionalFormatting>
  <conditionalFormatting sqref="D149:E152">
    <cfRule type="expression" dxfId="1" priority="64">
      <formula>$A$147</formula>
    </cfRule>
  </conditionalFormatting>
  <conditionalFormatting sqref="D159:E162">
    <cfRule type="expression" dxfId="0" priority="60">
      <formula>$A$157</formula>
    </cfRule>
  </conditionalFormatting>
  <hyperlinks>
    <hyperlink ref="C1" r:id="rId1" xr:uid="{5D95AF1D-83F0-42C5-AF73-20DF2245A382}"/>
  </hyperlinks>
  <pageMargins left="0.7" right="0.7" top="0.78740157499999996" bottom="0.78740157499999996" header="0.3" footer="0.3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>
                  <from>
                    <xdr:col>2</xdr:col>
                    <xdr:colOff>0</xdr:colOff>
                    <xdr:row>183</xdr:row>
                    <xdr:rowOff>19050</xdr:rowOff>
                  </from>
                  <to>
                    <xdr:col>2</xdr:col>
                    <xdr:colOff>1276350</xdr:colOff>
                    <xdr:row>183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Drop Down 2">
              <controlPr defaultSize="0" autoLine="0" autoPict="0">
                <anchor moveWithCells="1">
                  <from>
                    <xdr:col>2</xdr:col>
                    <xdr:colOff>0</xdr:colOff>
                    <xdr:row>180</xdr:row>
                    <xdr:rowOff>19050</xdr:rowOff>
                  </from>
                  <to>
                    <xdr:col>2</xdr:col>
                    <xdr:colOff>1266825</xdr:colOff>
                    <xdr:row>180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7" name="Drop Down 3">
              <controlPr defaultSize="0" autoLine="0" autoPict="0">
                <anchor moveWithCells="1">
                  <from>
                    <xdr:col>2</xdr:col>
                    <xdr:colOff>0</xdr:colOff>
                    <xdr:row>179</xdr:row>
                    <xdr:rowOff>28575</xdr:rowOff>
                  </from>
                  <to>
                    <xdr:col>2</xdr:col>
                    <xdr:colOff>1276350</xdr:colOff>
                    <xdr:row>179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8" name="Drop Down 4">
              <controlPr defaultSize="0" autoLine="0" autoPict="0">
                <anchor moveWithCells="1">
                  <from>
                    <xdr:col>2</xdr:col>
                    <xdr:colOff>0</xdr:colOff>
                    <xdr:row>173</xdr:row>
                    <xdr:rowOff>19050</xdr:rowOff>
                  </from>
                  <to>
                    <xdr:col>2</xdr:col>
                    <xdr:colOff>1247775</xdr:colOff>
                    <xdr:row>173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9" name="Drop Down 5">
              <controlPr defaultSize="0" autoLine="0" autoPict="0">
                <anchor moveWithCells="1">
                  <from>
                    <xdr:col>2</xdr:col>
                    <xdr:colOff>0</xdr:colOff>
                    <xdr:row>170</xdr:row>
                    <xdr:rowOff>28575</xdr:rowOff>
                  </from>
                  <to>
                    <xdr:col>2</xdr:col>
                    <xdr:colOff>1238250</xdr:colOff>
                    <xdr:row>170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8" r:id="rId10" name="Drop Down 6">
              <controlPr defaultSize="0" autoLine="0" autoPict="0">
                <anchor moveWithCells="1">
                  <from>
                    <xdr:col>2</xdr:col>
                    <xdr:colOff>0</xdr:colOff>
                    <xdr:row>169</xdr:row>
                    <xdr:rowOff>19050</xdr:rowOff>
                  </from>
                  <to>
                    <xdr:col>2</xdr:col>
                    <xdr:colOff>1238250</xdr:colOff>
                    <xdr:row>169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9" r:id="rId11" name="Check Box 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26</xdr:row>
                    <xdr:rowOff>9525</xdr:rowOff>
                  </from>
                  <to>
                    <xdr:col>2</xdr:col>
                    <xdr:colOff>1771650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12" name="Check Box 8">
              <controlPr defaultSize="0" autoFill="0" autoLine="0" autoPict="0">
                <anchor moveWithCells="1">
                  <from>
                    <xdr:col>2</xdr:col>
                    <xdr:colOff>9525</xdr:colOff>
                    <xdr:row>27</xdr:row>
                    <xdr:rowOff>19050</xdr:rowOff>
                  </from>
                  <to>
                    <xdr:col>2</xdr:col>
                    <xdr:colOff>1581150</xdr:colOff>
                    <xdr:row>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1" r:id="rId13" name="Drop Down 9">
              <controlPr defaultSize="0" autoLine="0" autoPict="0">
                <anchor moveWithCells="1">
                  <from>
                    <xdr:col>2</xdr:col>
                    <xdr:colOff>19050</xdr:colOff>
                    <xdr:row>30</xdr:row>
                    <xdr:rowOff>9525</xdr:rowOff>
                  </from>
                  <to>
                    <xdr:col>2</xdr:col>
                    <xdr:colOff>1171575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2" r:id="rId14" name="Check Box 10">
              <controlPr defaultSize="0" autoFill="0" autoLine="0" autoPict="0">
                <anchor moveWithCells="1">
                  <from>
                    <xdr:col>2</xdr:col>
                    <xdr:colOff>19050</xdr:colOff>
                    <xdr:row>31</xdr:row>
                    <xdr:rowOff>28575</xdr:rowOff>
                  </from>
                  <to>
                    <xdr:col>2</xdr:col>
                    <xdr:colOff>1590675</xdr:colOff>
                    <xdr:row>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3" r:id="rId15" name="Drop Down 11">
              <controlPr defaultSize="0" autoLine="0" autoPict="0">
                <anchor moveWithCells="1">
                  <from>
                    <xdr:col>2</xdr:col>
                    <xdr:colOff>0</xdr:colOff>
                    <xdr:row>34</xdr:row>
                    <xdr:rowOff>28575</xdr:rowOff>
                  </from>
                  <to>
                    <xdr:col>2</xdr:col>
                    <xdr:colOff>1200150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4" r:id="rId16" name="Check Box 12">
              <controlPr defaultSize="0" autoFill="0" autoLine="0" autoPict="0">
                <anchor moveWithCells="1">
                  <from>
                    <xdr:col>2</xdr:col>
                    <xdr:colOff>19050</xdr:colOff>
                    <xdr:row>32</xdr:row>
                    <xdr:rowOff>28575</xdr:rowOff>
                  </from>
                  <to>
                    <xdr:col>2</xdr:col>
                    <xdr:colOff>1590675</xdr:colOff>
                    <xdr:row>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" r:id="rId17" name="Drop Down 13">
              <controlPr defaultSize="0" autoLine="0" autoPict="0">
                <anchor moveWithCells="1">
                  <from>
                    <xdr:col>2</xdr:col>
                    <xdr:colOff>0</xdr:colOff>
                    <xdr:row>33</xdr:row>
                    <xdr:rowOff>28575</xdr:rowOff>
                  </from>
                  <to>
                    <xdr:col>2</xdr:col>
                    <xdr:colOff>1200150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" r:id="rId18" name="Check Box 14">
              <controlPr defaultSize="0" autoFill="0" autoLine="0" autoPict="0">
                <anchor moveWithCells="1">
                  <from>
                    <xdr:col>2</xdr:col>
                    <xdr:colOff>9525</xdr:colOff>
                    <xdr:row>2</xdr:row>
                    <xdr:rowOff>9525</xdr:rowOff>
                  </from>
                  <to>
                    <xdr:col>2</xdr:col>
                    <xdr:colOff>1771650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" r:id="rId19" name="Check Box 15">
              <controlPr defaultSize="0" autoFill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2</xdr:col>
                    <xdr:colOff>1952625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" r:id="rId20" name="Check Box 16">
              <controlPr defaultSize="0" autoFill="0" autoLine="0" autoPict="0">
                <anchor moveWithCells="1">
                  <from>
                    <xdr:col>2</xdr:col>
                    <xdr:colOff>0</xdr:colOff>
                    <xdr:row>4</xdr:row>
                    <xdr:rowOff>9525</xdr:rowOff>
                  </from>
                  <to>
                    <xdr:col>2</xdr:col>
                    <xdr:colOff>1943100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9" r:id="rId21" name="Check Box 1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</xdr:row>
                    <xdr:rowOff>9525</xdr:rowOff>
                  </from>
                  <to>
                    <xdr:col>2</xdr:col>
                    <xdr:colOff>1771650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" r:id="rId22" name="Check Box 18">
              <controlPr defaultSize="0" autoFill="0" autoLine="0" autoPict="0">
                <anchor moveWithCells="1">
                  <from>
                    <xdr:col>2</xdr:col>
                    <xdr:colOff>9525</xdr:colOff>
                    <xdr:row>7</xdr:row>
                    <xdr:rowOff>19050</xdr:rowOff>
                  </from>
                  <to>
                    <xdr:col>2</xdr:col>
                    <xdr:colOff>1581150</xdr:colOff>
                    <xdr:row>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" r:id="rId23" name="Drop Down 19">
              <controlPr defaultSize="0" autoLine="0" autoPict="0">
                <anchor moveWithCells="1">
                  <from>
                    <xdr:col>2</xdr:col>
                    <xdr:colOff>19050</xdr:colOff>
                    <xdr:row>10</xdr:row>
                    <xdr:rowOff>9525</xdr:rowOff>
                  </from>
                  <to>
                    <xdr:col>2</xdr:col>
                    <xdr:colOff>1171575</xdr:colOff>
                    <xdr:row>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2" r:id="rId24" name="Check Box 20">
              <controlPr defaultSize="0" autoFill="0" autoLine="0" autoPict="0">
                <anchor moveWithCells="1">
                  <from>
                    <xdr:col>2</xdr:col>
                    <xdr:colOff>19050</xdr:colOff>
                    <xdr:row>11</xdr:row>
                    <xdr:rowOff>28575</xdr:rowOff>
                  </from>
                  <to>
                    <xdr:col>2</xdr:col>
                    <xdr:colOff>1590675</xdr:colOff>
                    <xdr:row>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3" r:id="rId25" name="Drop Down 21">
              <controlPr defaultSize="0" autoLine="0" autoPict="0">
                <anchor moveWithCells="1">
                  <from>
                    <xdr:col>1</xdr:col>
                    <xdr:colOff>2152650</xdr:colOff>
                    <xdr:row>14</xdr:row>
                    <xdr:rowOff>28575</xdr:rowOff>
                  </from>
                  <to>
                    <xdr:col>2</xdr:col>
                    <xdr:colOff>1200150</xdr:colOff>
                    <xdr:row>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4" r:id="rId26" name="Check Box 2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5" r:id="rId27" name="Drop Down 2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6" r:id="rId28" name="Drop Down 24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" r:id="rId29" name="Check Box 2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" r:id="rId30" name="Check Box 2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9" r:id="rId31" name="Check Box 2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0" r:id="rId32" name="Drop Down 2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1" r:id="rId33" name="Drop Down 29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2" r:id="rId34" name="Check Box 3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3" r:id="rId35" name="Check Box 3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4" r:id="rId36" name="Check Box 3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5" r:id="rId37" name="Drop Down 3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6" r:id="rId38" name="Drop Down 34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7" r:id="rId39" name="Check Box 3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8" r:id="rId40" name="Check Box 3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09" r:id="rId41" name="Check Box 3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0" r:id="rId42" name="Drop Down 3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1" r:id="rId43" name="Drop Down 39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2" r:id="rId44" name="Check Box 4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3" r:id="rId45" name="Check Box 4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4" r:id="rId46" name="Check Box 4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5" r:id="rId47" name="Drop Down 4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6" r:id="rId48" name="Drop Down 44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7" r:id="rId49" name="Check Box 45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8" r:id="rId50" name="Check Box 46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19" r:id="rId51" name="Check Box 4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0" r:id="rId52" name="Drop Down 4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1" r:id="rId53" name="Drop Down 49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2" r:id="rId54" name="Check Box 50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3" r:id="rId55" name="Check Box 51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4" r:id="rId56" name="Check Box 52">
              <controlPr defaultSize="0" autoFill="0" autoLine="0" autoPict="0">
                <anchor moveWithCells="1">
                  <from>
                    <xdr:col>2</xdr:col>
                    <xdr:colOff>19050</xdr:colOff>
                    <xdr:row>12</xdr:row>
                    <xdr:rowOff>28575</xdr:rowOff>
                  </from>
                  <to>
                    <xdr:col>2</xdr:col>
                    <xdr:colOff>1590675</xdr:colOff>
                    <xdr:row>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5" r:id="rId57" name="Check Box 53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16</xdr:row>
                    <xdr:rowOff>9525</xdr:rowOff>
                  </from>
                  <to>
                    <xdr:col>2</xdr:col>
                    <xdr:colOff>1771650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6" r:id="rId58" name="Check Box 54">
              <controlPr defaultSize="0" autoFill="0" autoLine="0" autoPict="0">
                <anchor moveWithCells="1">
                  <from>
                    <xdr:col>2</xdr:col>
                    <xdr:colOff>9525</xdr:colOff>
                    <xdr:row>17</xdr:row>
                    <xdr:rowOff>19050</xdr:rowOff>
                  </from>
                  <to>
                    <xdr:col>2</xdr:col>
                    <xdr:colOff>1581150</xdr:colOff>
                    <xdr:row>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7" r:id="rId59" name="Drop Down 55">
              <controlPr defaultSize="0" autoLine="0" autoPict="0">
                <anchor moveWithCells="1">
                  <from>
                    <xdr:col>2</xdr:col>
                    <xdr:colOff>19050</xdr:colOff>
                    <xdr:row>20</xdr:row>
                    <xdr:rowOff>9525</xdr:rowOff>
                  </from>
                  <to>
                    <xdr:col>2</xdr:col>
                    <xdr:colOff>1171575</xdr:colOff>
                    <xdr:row>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8" r:id="rId60" name="Check Box 56">
              <controlPr defaultSize="0" autoFill="0" autoLine="0" autoPict="0">
                <anchor moveWithCells="1">
                  <from>
                    <xdr:col>2</xdr:col>
                    <xdr:colOff>19050</xdr:colOff>
                    <xdr:row>21</xdr:row>
                    <xdr:rowOff>28575</xdr:rowOff>
                  </from>
                  <to>
                    <xdr:col>2</xdr:col>
                    <xdr:colOff>1590675</xdr:colOff>
                    <xdr:row>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29" r:id="rId61" name="Drop Down 57">
              <controlPr defaultSize="0" autoLine="0" autoPict="0">
                <anchor moveWithCells="1">
                  <from>
                    <xdr:col>1</xdr:col>
                    <xdr:colOff>2152650</xdr:colOff>
                    <xdr:row>24</xdr:row>
                    <xdr:rowOff>28575</xdr:rowOff>
                  </from>
                  <to>
                    <xdr:col>2</xdr:col>
                    <xdr:colOff>1200150</xdr:colOff>
                    <xdr:row>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0" r:id="rId62" name="Check Box 58">
              <controlPr defaultSize="0" autoFill="0" autoLine="0" autoPict="0">
                <anchor moveWithCells="1">
                  <from>
                    <xdr:col>2</xdr:col>
                    <xdr:colOff>19050</xdr:colOff>
                    <xdr:row>22</xdr:row>
                    <xdr:rowOff>28575</xdr:rowOff>
                  </from>
                  <to>
                    <xdr:col>2</xdr:col>
                    <xdr:colOff>1590675</xdr:colOff>
                    <xdr:row>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1" r:id="rId63" name="Drop Down 59">
              <controlPr defaultSize="0" autoLine="0" autoPict="0">
                <anchor moveWithCells="1">
                  <from>
                    <xdr:col>2</xdr:col>
                    <xdr:colOff>0</xdr:colOff>
                    <xdr:row>23</xdr:row>
                    <xdr:rowOff>28575</xdr:rowOff>
                  </from>
                  <to>
                    <xdr:col>2</xdr:col>
                    <xdr:colOff>1200150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2" r:id="rId64" name="Drop Down 60">
              <controlPr defaultSize="0" autoLine="0" autoPict="0">
                <anchor moveWithCells="1">
                  <from>
                    <xdr:col>2</xdr:col>
                    <xdr:colOff>0</xdr:colOff>
                    <xdr:row>13</xdr:row>
                    <xdr:rowOff>28575</xdr:rowOff>
                  </from>
                  <to>
                    <xdr:col>2</xdr:col>
                    <xdr:colOff>1200150</xdr:colOff>
                    <xdr:row>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3" r:id="rId65" name="Check Box 61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36</xdr:row>
                    <xdr:rowOff>9525</xdr:rowOff>
                  </from>
                  <to>
                    <xdr:col>2</xdr:col>
                    <xdr:colOff>1771650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4" r:id="rId66" name="Check Box 62">
              <controlPr defaultSize="0" autoFill="0" autoLine="0" autoPict="0">
                <anchor moveWithCells="1">
                  <from>
                    <xdr:col>2</xdr:col>
                    <xdr:colOff>9525</xdr:colOff>
                    <xdr:row>37</xdr:row>
                    <xdr:rowOff>19050</xdr:rowOff>
                  </from>
                  <to>
                    <xdr:col>2</xdr:col>
                    <xdr:colOff>1581150</xdr:colOff>
                    <xdr:row>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5" r:id="rId67" name="Drop Down 63">
              <controlPr defaultSize="0" autoLine="0" autoPict="0">
                <anchor moveWithCells="1">
                  <from>
                    <xdr:col>2</xdr:col>
                    <xdr:colOff>19050</xdr:colOff>
                    <xdr:row>40</xdr:row>
                    <xdr:rowOff>9525</xdr:rowOff>
                  </from>
                  <to>
                    <xdr:col>2</xdr:col>
                    <xdr:colOff>1171575</xdr:colOff>
                    <xdr:row>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6" r:id="rId68" name="Check Box 64">
              <controlPr defaultSize="0" autoFill="0" autoLine="0" autoPict="0">
                <anchor moveWithCells="1">
                  <from>
                    <xdr:col>2</xdr:col>
                    <xdr:colOff>19050</xdr:colOff>
                    <xdr:row>41</xdr:row>
                    <xdr:rowOff>28575</xdr:rowOff>
                  </from>
                  <to>
                    <xdr:col>2</xdr:col>
                    <xdr:colOff>1590675</xdr:colOff>
                    <xdr:row>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7" r:id="rId69" name="Drop Down 65">
              <controlPr defaultSize="0" autoLine="0" autoPict="0">
                <anchor moveWithCells="1">
                  <from>
                    <xdr:col>2</xdr:col>
                    <xdr:colOff>0</xdr:colOff>
                    <xdr:row>44</xdr:row>
                    <xdr:rowOff>28575</xdr:rowOff>
                  </from>
                  <to>
                    <xdr:col>2</xdr:col>
                    <xdr:colOff>1200150</xdr:colOff>
                    <xdr:row>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8" r:id="rId70" name="Check Box 66">
              <controlPr defaultSize="0" autoFill="0" autoLine="0" autoPict="0">
                <anchor moveWithCells="1">
                  <from>
                    <xdr:col>2</xdr:col>
                    <xdr:colOff>19050</xdr:colOff>
                    <xdr:row>42</xdr:row>
                    <xdr:rowOff>28575</xdr:rowOff>
                  </from>
                  <to>
                    <xdr:col>2</xdr:col>
                    <xdr:colOff>1590675</xdr:colOff>
                    <xdr:row>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39" r:id="rId71" name="Drop Down 67">
              <controlPr defaultSize="0" autoLine="0" autoPict="0">
                <anchor moveWithCells="1">
                  <from>
                    <xdr:col>2</xdr:col>
                    <xdr:colOff>0</xdr:colOff>
                    <xdr:row>43</xdr:row>
                    <xdr:rowOff>28575</xdr:rowOff>
                  </from>
                  <to>
                    <xdr:col>2</xdr:col>
                    <xdr:colOff>1200150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0" r:id="rId72" name="Check Box 6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46</xdr:row>
                    <xdr:rowOff>9525</xdr:rowOff>
                  </from>
                  <to>
                    <xdr:col>2</xdr:col>
                    <xdr:colOff>1771650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1" r:id="rId73" name="Check Box 69">
              <controlPr defaultSize="0" autoFill="0" autoLine="0" autoPict="0">
                <anchor moveWithCells="1">
                  <from>
                    <xdr:col>2</xdr:col>
                    <xdr:colOff>9525</xdr:colOff>
                    <xdr:row>47</xdr:row>
                    <xdr:rowOff>19050</xdr:rowOff>
                  </from>
                  <to>
                    <xdr:col>2</xdr:col>
                    <xdr:colOff>1581150</xdr:colOff>
                    <xdr:row>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2" r:id="rId74" name="Drop Down 70">
              <controlPr defaultSize="0" autoLine="0" autoPict="0">
                <anchor moveWithCells="1">
                  <from>
                    <xdr:col>2</xdr:col>
                    <xdr:colOff>19050</xdr:colOff>
                    <xdr:row>50</xdr:row>
                    <xdr:rowOff>9525</xdr:rowOff>
                  </from>
                  <to>
                    <xdr:col>2</xdr:col>
                    <xdr:colOff>1171575</xdr:colOff>
                    <xdr:row>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3" r:id="rId75" name="Check Box 71">
              <controlPr defaultSize="0" autoFill="0" autoLine="0" autoPict="0">
                <anchor moveWithCells="1">
                  <from>
                    <xdr:col>2</xdr:col>
                    <xdr:colOff>19050</xdr:colOff>
                    <xdr:row>51</xdr:row>
                    <xdr:rowOff>28575</xdr:rowOff>
                  </from>
                  <to>
                    <xdr:col>2</xdr:col>
                    <xdr:colOff>1590675</xdr:colOff>
                    <xdr:row>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4" r:id="rId76" name="Drop Down 72">
              <controlPr defaultSize="0" autoLine="0" autoPict="0">
                <anchor moveWithCells="1">
                  <from>
                    <xdr:col>2</xdr:col>
                    <xdr:colOff>0</xdr:colOff>
                    <xdr:row>54</xdr:row>
                    <xdr:rowOff>28575</xdr:rowOff>
                  </from>
                  <to>
                    <xdr:col>2</xdr:col>
                    <xdr:colOff>1200150</xdr:colOff>
                    <xdr:row>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5" r:id="rId77" name="Check Box 73">
              <controlPr defaultSize="0" autoFill="0" autoLine="0" autoPict="0">
                <anchor moveWithCells="1">
                  <from>
                    <xdr:col>2</xdr:col>
                    <xdr:colOff>19050</xdr:colOff>
                    <xdr:row>52</xdr:row>
                    <xdr:rowOff>28575</xdr:rowOff>
                  </from>
                  <to>
                    <xdr:col>2</xdr:col>
                    <xdr:colOff>1590675</xdr:colOff>
                    <xdr:row>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6" r:id="rId78" name="Drop Down 74">
              <controlPr defaultSize="0" autoLine="0" autoPict="0">
                <anchor moveWithCells="1">
                  <from>
                    <xdr:col>2</xdr:col>
                    <xdr:colOff>0</xdr:colOff>
                    <xdr:row>53</xdr:row>
                    <xdr:rowOff>28575</xdr:rowOff>
                  </from>
                  <to>
                    <xdr:col>2</xdr:col>
                    <xdr:colOff>1200150</xdr:colOff>
                    <xdr:row>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7" r:id="rId79" name="Check Box 7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56</xdr:row>
                    <xdr:rowOff>9525</xdr:rowOff>
                  </from>
                  <to>
                    <xdr:col>2</xdr:col>
                    <xdr:colOff>1771650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8" r:id="rId80" name="Check Box 76">
              <controlPr defaultSize="0" autoFill="0" autoLine="0" autoPict="0">
                <anchor moveWithCells="1">
                  <from>
                    <xdr:col>2</xdr:col>
                    <xdr:colOff>9525</xdr:colOff>
                    <xdr:row>57</xdr:row>
                    <xdr:rowOff>19050</xdr:rowOff>
                  </from>
                  <to>
                    <xdr:col>2</xdr:col>
                    <xdr:colOff>1581150</xdr:colOff>
                    <xdr:row>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49" r:id="rId81" name="Drop Down 77">
              <controlPr defaultSize="0" autoLine="0" autoPict="0">
                <anchor moveWithCells="1">
                  <from>
                    <xdr:col>2</xdr:col>
                    <xdr:colOff>19050</xdr:colOff>
                    <xdr:row>60</xdr:row>
                    <xdr:rowOff>9525</xdr:rowOff>
                  </from>
                  <to>
                    <xdr:col>2</xdr:col>
                    <xdr:colOff>1171575</xdr:colOff>
                    <xdr:row>60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0" r:id="rId82" name="Check Box 78">
              <controlPr defaultSize="0" autoFill="0" autoLine="0" autoPict="0">
                <anchor moveWithCells="1">
                  <from>
                    <xdr:col>2</xdr:col>
                    <xdr:colOff>19050</xdr:colOff>
                    <xdr:row>61</xdr:row>
                    <xdr:rowOff>28575</xdr:rowOff>
                  </from>
                  <to>
                    <xdr:col>2</xdr:col>
                    <xdr:colOff>1590675</xdr:colOff>
                    <xdr:row>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1" r:id="rId83" name="Drop Down 79">
              <controlPr defaultSize="0" autoLine="0" autoPict="0">
                <anchor moveWithCells="1">
                  <from>
                    <xdr:col>2</xdr:col>
                    <xdr:colOff>0</xdr:colOff>
                    <xdr:row>64</xdr:row>
                    <xdr:rowOff>28575</xdr:rowOff>
                  </from>
                  <to>
                    <xdr:col>2</xdr:col>
                    <xdr:colOff>1200150</xdr:colOff>
                    <xdr:row>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2" r:id="rId84" name="Check Box 80">
              <controlPr defaultSize="0" autoFill="0" autoLine="0" autoPict="0">
                <anchor moveWithCells="1">
                  <from>
                    <xdr:col>2</xdr:col>
                    <xdr:colOff>19050</xdr:colOff>
                    <xdr:row>62</xdr:row>
                    <xdr:rowOff>28575</xdr:rowOff>
                  </from>
                  <to>
                    <xdr:col>2</xdr:col>
                    <xdr:colOff>1590675</xdr:colOff>
                    <xdr:row>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3" r:id="rId85" name="Drop Down 81">
              <controlPr defaultSize="0" autoLine="0" autoPict="0">
                <anchor moveWithCells="1">
                  <from>
                    <xdr:col>2</xdr:col>
                    <xdr:colOff>0</xdr:colOff>
                    <xdr:row>63</xdr:row>
                    <xdr:rowOff>28575</xdr:rowOff>
                  </from>
                  <to>
                    <xdr:col>2</xdr:col>
                    <xdr:colOff>1200150</xdr:colOff>
                    <xdr:row>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4" r:id="rId86" name="Check Box 82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66</xdr:row>
                    <xdr:rowOff>9525</xdr:rowOff>
                  </from>
                  <to>
                    <xdr:col>2</xdr:col>
                    <xdr:colOff>1771650</xdr:colOff>
                    <xdr:row>67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5" r:id="rId87" name="Check Box 83">
              <controlPr defaultSize="0" autoFill="0" autoLine="0" autoPict="0">
                <anchor moveWithCells="1">
                  <from>
                    <xdr:col>2</xdr:col>
                    <xdr:colOff>9525</xdr:colOff>
                    <xdr:row>67</xdr:row>
                    <xdr:rowOff>19050</xdr:rowOff>
                  </from>
                  <to>
                    <xdr:col>2</xdr:col>
                    <xdr:colOff>1581150</xdr:colOff>
                    <xdr:row>67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6" r:id="rId88" name="Drop Down 84">
              <controlPr defaultSize="0" autoLine="0" autoPict="0">
                <anchor moveWithCells="1">
                  <from>
                    <xdr:col>2</xdr:col>
                    <xdr:colOff>19050</xdr:colOff>
                    <xdr:row>70</xdr:row>
                    <xdr:rowOff>9525</xdr:rowOff>
                  </from>
                  <to>
                    <xdr:col>2</xdr:col>
                    <xdr:colOff>1171575</xdr:colOff>
                    <xdr:row>70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7" r:id="rId89" name="Check Box 85">
              <controlPr defaultSize="0" autoFill="0" autoLine="0" autoPict="0">
                <anchor moveWithCells="1">
                  <from>
                    <xdr:col>2</xdr:col>
                    <xdr:colOff>19050</xdr:colOff>
                    <xdr:row>71</xdr:row>
                    <xdr:rowOff>28575</xdr:rowOff>
                  </from>
                  <to>
                    <xdr:col>2</xdr:col>
                    <xdr:colOff>1590675</xdr:colOff>
                    <xdr:row>71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8" r:id="rId90" name="Drop Down 86">
              <controlPr defaultSize="0" autoLine="0" autoPict="0">
                <anchor moveWithCells="1">
                  <from>
                    <xdr:col>2</xdr:col>
                    <xdr:colOff>0</xdr:colOff>
                    <xdr:row>74</xdr:row>
                    <xdr:rowOff>28575</xdr:rowOff>
                  </from>
                  <to>
                    <xdr:col>2</xdr:col>
                    <xdr:colOff>1200150</xdr:colOff>
                    <xdr:row>74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59" r:id="rId91" name="Check Box 87">
              <controlPr defaultSize="0" autoFill="0" autoLine="0" autoPict="0">
                <anchor moveWithCells="1">
                  <from>
                    <xdr:col>2</xdr:col>
                    <xdr:colOff>19050</xdr:colOff>
                    <xdr:row>72</xdr:row>
                    <xdr:rowOff>28575</xdr:rowOff>
                  </from>
                  <to>
                    <xdr:col>2</xdr:col>
                    <xdr:colOff>1590675</xdr:colOff>
                    <xdr:row>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0" r:id="rId92" name="Drop Down 88">
              <controlPr defaultSize="0" autoLine="0" autoPict="0">
                <anchor moveWithCells="1">
                  <from>
                    <xdr:col>2</xdr:col>
                    <xdr:colOff>0</xdr:colOff>
                    <xdr:row>73</xdr:row>
                    <xdr:rowOff>28575</xdr:rowOff>
                  </from>
                  <to>
                    <xdr:col>2</xdr:col>
                    <xdr:colOff>1200150</xdr:colOff>
                    <xdr:row>73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1" r:id="rId93" name="Check Box 89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76</xdr:row>
                    <xdr:rowOff>9525</xdr:rowOff>
                  </from>
                  <to>
                    <xdr:col>2</xdr:col>
                    <xdr:colOff>1771650</xdr:colOff>
                    <xdr:row>76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2" r:id="rId94" name="Check Box 90">
              <controlPr defaultSize="0" autoFill="0" autoLine="0" autoPict="0">
                <anchor moveWithCells="1">
                  <from>
                    <xdr:col>2</xdr:col>
                    <xdr:colOff>9525</xdr:colOff>
                    <xdr:row>77</xdr:row>
                    <xdr:rowOff>19050</xdr:rowOff>
                  </from>
                  <to>
                    <xdr:col>2</xdr:col>
                    <xdr:colOff>1581150</xdr:colOff>
                    <xdr:row>77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3" r:id="rId95" name="Drop Down 91">
              <controlPr defaultSize="0" autoLine="0" autoPict="0">
                <anchor moveWithCells="1">
                  <from>
                    <xdr:col>2</xdr:col>
                    <xdr:colOff>19050</xdr:colOff>
                    <xdr:row>80</xdr:row>
                    <xdr:rowOff>9525</xdr:rowOff>
                  </from>
                  <to>
                    <xdr:col>2</xdr:col>
                    <xdr:colOff>1171575</xdr:colOff>
                    <xdr:row>80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4" r:id="rId96" name="Check Box 92">
              <controlPr defaultSize="0" autoFill="0" autoLine="0" autoPict="0">
                <anchor moveWithCells="1">
                  <from>
                    <xdr:col>2</xdr:col>
                    <xdr:colOff>19050</xdr:colOff>
                    <xdr:row>81</xdr:row>
                    <xdr:rowOff>28575</xdr:rowOff>
                  </from>
                  <to>
                    <xdr:col>2</xdr:col>
                    <xdr:colOff>1590675</xdr:colOff>
                    <xdr:row>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5" r:id="rId97" name="Drop Down 93">
              <controlPr defaultSize="0" autoLine="0" autoPict="0">
                <anchor moveWithCells="1">
                  <from>
                    <xdr:col>2</xdr:col>
                    <xdr:colOff>0</xdr:colOff>
                    <xdr:row>84</xdr:row>
                    <xdr:rowOff>28575</xdr:rowOff>
                  </from>
                  <to>
                    <xdr:col>2</xdr:col>
                    <xdr:colOff>1200150</xdr:colOff>
                    <xdr:row>84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6" r:id="rId98" name="Check Box 94">
              <controlPr defaultSize="0" autoFill="0" autoLine="0" autoPict="0">
                <anchor moveWithCells="1">
                  <from>
                    <xdr:col>2</xdr:col>
                    <xdr:colOff>19050</xdr:colOff>
                    <xdr:row>82</xdr:row>
                    <xdr:rowOff>28575</xdr:rowOff>
                  </from>
                  <to>
                    <xdr:col>2</xdr:col>
                    <xdr:colOff>1590675</xdr:colOff>
                    <xdr:row>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7" r:id="rId99" name="Drop Down 95">
              <controlPr defaultSize="0" autoLine="0" autoPict="0">
                <anchor moveWithCells="1">
                  <from>
                    <xdr:col>2</xdr:col>
                    <xdr:colOff>0</xdr:colOff>
                    <xdr:row>83</xdr:row>
                    <xdr:rowOff>28575</xdr:rowOff>
                  </from>
                  <to>
                    <xdr:col>2</xdr:col>
                    <xdr:colOff>1200150</xdr:colOff>
                    <xdr:row>83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8" r:id="rId100" name="Check Box 96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86</xdr:row>
                    <xdr:rowOff>9525</xdr:rowOff>
                  </from>
                  <to>
                    <xdr:col>2</xdr:col>
                    <xdr:colOff>1771650</xdr:colOff>
                    <xdr:row>87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69" r:id="rId101" name="Check Box 97">
              <controlPr defaultSize="0" autoFill="0" autoLine="0" autoPict="0">
                <anchor moveWithCells="1">
                  <from>
                    <xdr:col>2</xdr:col>
                    <xdr:colOff>9525</xdr:colOff>
                    <xdr:row>87</xdr:row>
                    <xdr:rowOff>19050</xdr:rowOff>
                  </from>
                  <to>
                    <xdr:col>2</xdr:col>
                    <xdr:colOff>1581150</xdr:colOff>
                    <xdr:row>87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0" r:id="rId102" name="Drop Down 98">
              <controlPr defaultSize="0" autoLine="0" autoPict="0">
                <anchor moveWithCells="1">
                  <from>
                    <xdr:col>2</xdr:col>
                    <xdr:colOff>19050</xdr:colOff>
                    <xdr:row>90</xdr:row>
                    <xdr:rowOff>9525</xdr:rowOff>
                  </from>
                  <to>
                    <xdr:col>2</xdr:col>
                    <xdr:colOff>1171575</xdr:colOff>
                    <xdr:row>90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1" r:id="rId103" name="Check Box 99">
              <controlPr defaultSize="0" autoFill="0" autoLine="0" autoPict="0">
                <anchor moveWithCells="1">
                  <from>
                    <xdr:col>2</xdr:col>
                    <xdr:colOff>19050</xdr:colOff>
                    <xdr:row>91</xdr:row>
                    <xdr:rowOff>28575</xdr:rowOff>
                  </from>
                  <to>
                    <xdr:col>2</xdr:col>
                    <xdr:colOff>1590675</xdr:colOff>
                    <xdr:row>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2" r:id="rId104" name="Drop Down 100">
              <controlPr defaultSize="0" autoLine="0" autoPict="0">
                <anchor moveWithCells="1">
                  <from>
                    <xdr:col>2</xdr:col>
                    <xdr:colOff>0</xdr:colOff>
                    <xdr:row>94</xdr:row>
                    <xdr:rowOff>28575</xdr:rowOff>
                  </from>
                  <to>
                    <xdr:col>2</xdr:col>
                    <xdr:colOff>1200150</xdr:colOff>
                    <xdr:row>94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3" r:id="rId105" name="Check Box 101">
              <controlPr defaultSize="0" autoFill="0" autoLine="0" autoPict="0">
                <anchor moveWithCells="1">
                  <from>
                    <xdr:col>2</xdr:col>
                    <xdr:colOff>19050</xdr:colOff>
                    <xdr:row>92</xdr:row>
                    <xdr:rowOff>28575</xdr:rowOff>
                  </from>
                  <to>
                    <xdr:col>2</xdr:col>
                    <xdr:colOff>1590675</xdr:colOff>
                    <xdr:row>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" r:id="rId106" name="Drop Down 102">
              <controlPr defaultSize="0" autoLine="0" autoPict="0">
                <anchor moveWithCells="1">
                  <from>
                    <xdr:col>2</xdr:col>
                    <xdr:colOff>0</xdr:colOff>
                    <xdr:row>93</xdr:row>
                    <xdr:rowOff>28575</xdr:rowOff>
                  </from>
                  <to>
                    <xdr:col>2</xdr:col>
                    <xdr:colOff>1200150</xdr:colOff>
                    <xdr:row>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" r:id="rId107" name="Check Box 103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96</xdr:row>
                    <xdr:rowOff>9525</xdr:rowOff>
                  </from>
                  <to>
                    <xdr:col>2</xdr:col>
                    <xdr:colOff>1771650</xdr:colOff>
                    <xdr:row>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" r:id="rId108" name="Check Box 104">
              <controlPr defaultSize="0" autoFill="0" autoLine="0" autoPict="0">
                <anchor moveWithCells="1">
                  <from>
                    <xdr:col>2</xdr:col>
                    <xdr:colOff>9525</xdr:colOff>
                    <xdr:row>97</xdr:row>
                    <xdr:rowOff>19050</xdr:rowOff>
                  </from>
                  <to>
                    <xdr:col>2</xdr:col>
                    <xdr:colOff>1581150</xdr:colOff>
                    <xdr:row>97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7" r:id="rId109" name="Drop Down 105">
              <controlPr defaultSize="0" autoLine="0" autoPict="0">
                <anchor moveWithCells="1">
                  <from>
                    <xdr:col>2</xdr:col>
                    <xdr:colOff>19050</xdr:colOff>
                    <xdr:row>100</xdr:row>
                    <xdr:rowOff>9525</xdr:rowOff>
                  </from>
                  <to>
                    <xdr:col>2</xdr:col>
                    <xdr:colOff>1171575</xdr:colOff>
                    <xdr:row>100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8" r:id="rId110" name="Check Box 106">
              <controlPr defaultSize="0" autoFill="0" autoLine="0" autoPict="0">
                <anchor moveWithCells="1">
                  <from>
                    <xdr:col>2</xdr:col>
                    <xdr:colOff>19050</xdr:colOff>
                    <xdr:row>101</xdr:row>
                    <xdr:rowOff>28575</xdr:rowOff>
                  </from>
                  <to>
                    <xdr:col>2</xdr:col>
                    <xdr:colOff>1590675</xdr:colOff>
                    <xdr:row>101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9" r:id="rId111" name="Drop Down 107">
              <controlPr defaultSize="0" autoLine="0" autoPict="0">
                <anchor moveWithCells="1">
                  <from>
                    <xdr:col>2</xdr:col>
                    <xdr:colOff>0</xdr:colOff>
                    <xdr:row>104</xdr:row>
                    <xdr:rowOff>28575</xdr:rowOff>
                  </from>
                  <to>
                    <xdr:col>2</xdr:col>
                    <xdr:colOff>1200150</xdr:colOff>
                    <xdr:row>104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0" r:id="rId112" name="Check Box 108">
              <controlPr defaultSize="0" autoFill="0" autoLine="0" autoPict="0">
                <anchor moveWithCells="1">
                  <from>
                    <xdr:col>2</xdr:col>
                    <xdr:colOff>19050</xdr:colOff>
                    <xdr:row>102</xdr:row>
                    <xdr:rowOff>28575</xdr:rowOff>
                  </from>
                  <to>
                    <xdr:col>2</xdr:col>
                    <xdr:colOff>1590675</xdr:colOff>
                    <xdr:row>102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1" r:id="rId113" name="Drop Down 109">
              <controlPr defaultSize="0" autoLine="0" autoPict="0">
                <anchor moveWithCells="1">
                  <from>
                    <xdr:col>2</xdr:col>
                    <xdr:colOff>0</xdr:colOff>
                    <xdr:row>103</xdr:row>
                    <xdr:rowOff>28575</xdr:rowOff>
                  </from>
                  <to>
                    <xdr:col>2</xdr:col>
                    <xdr:colOff>1200150</xdr:colOff>
                    <xdr:row>103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2" r:id="rId114" name="Check Box 110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106</xdr:row>
                    <xdr:rowOff>9525</xdr:rowOff>
                  </from>
                  <to>
                    <xdr:col>2</xdr:col>
                    <xdr:colOff>1771650</xdr:colOff>
                    <xdr:row>107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3" r:id="rId115" name="Check Box 111">
              <controlPr defaultSize="0" autoFill="0" autoLine="0" autoPict="0">
                <anchor moveWithCells="1">
                  <from>
                    <xdr:col>2</xdr:col>
                    <xdr:colOff>9525</xdr:colOff>
                    <xdr:row>107</xdr:row>
                    <xdr:rowOff>19050</xdr:rowOff>
                  </from>
                  <to>
                    <xdr:col>2</xdr:col>
                    <xdr:colOff>1581150</xdr:colOff>
                    <xdr:row>107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" r:id="rId116" name="Drop Down 112">
              <controlPr defaultSize="0" autoLine="0" autoPict="0">
                <anchor moveWithCells="1">
                  <from>
                    <xdr:col>2</xdr:col>
                    <xdr:colOff>19050</xdr:colOff>
                    <xdr:row>110</xdr:row>
                    <xdr:rowOff>9525</xdr:rowOff>
                  </from>
                  <to>
                    <xdr:col>2</xdr:col>
                    <xdr:colOff>1171575</xdr:colOff>
                    <xdr:row>110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5" r:id="rId117" name="Check Box 113">
              <controlPr defaultSize="0" autoFill="0" autoLine="0" autoPict="0">
                <anchor moveWithCells="1">
                  <from>
                    <xdr:col>2</xdr:col>
                    <xdr:colOff>19050</xdr:colOff>
                    <xdr:row>111</xdr:row>
                    <xdr:rowOff>28575</xdr:rowOff>
                  </from>
                  <to>
                    <xdr:col>2</xdr:col>
                    <xdr:colOff>1590675</xdr:colOff>
                    <xdr:row>111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6" r:id="rId118" name="Drop Down 114">
              <controlPr defaultSize="0" autoLine="0" autoPict="0">
                <anchor moveWithCells="1">
                  <from>
                    <xdr:col>2</xdr:col>
                    <xdr:colOff>0</xdr:colOff>
                    <xdr:row>114</xdr:row>
                    <xdr:rowOff>28575</xdr:rowOff>
                  </from>
                  <to>
                    <xdr:col>2</xdr:col>
                    <xdr:colOff>1200150</xdr:colOff>
                    <xdr:row>114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7" r:id="rId119" name="Check Box 115">
              <controlPr defaultSize="0" autoFill="0" autoLine="0" autoPict="0">
                <anchor moveWithCells="1">
                  <from>
                    <xdr:col>2</xdr:col>
                    <xdr:colOff>19050</xdr:colOff>
                    <xdr:row>112</xdr:row>
                    <xdr:rowOff>28575</xdr:rowOff>
                  </from>
                  <to>
                    <xdr:col>2</xdr:col>
                    <xdr:colOff>1590675</xdr:colOff>
                    <xdr:row>112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8" r:id="rId120" name="Drop Down 116">
              <controlPr defaultSize="0" autoLine="0" autoPict="0">
                <anchor moveWithCells="1">
                  <from>
                    <xdr:col>2</xdr:col>
                    <xdr:colOff>0</xdr:colOff>
                    <xdr:row>113</xdr:row>
                    <xdr:rowOff>28575</xdr:rowOff>
                  </from>
                  <to>
                    <xdr:col>2</xdr:col>
                    <xdr:colOff>1200150</xdr:colOff>
                    <xdr:row>113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9" r:id="rId121" name="Check Box 11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116</xdr:row>
                    <xdr:rowOff>9525</xdr:rowOff>
                  </from>
                  <to>
                    <xdr:col>2</xdr:col>
                    <xdr:colOff>1771650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0" r:id="rId122" name="Check Box 118">
              <controlPr defaultSize="0" autoFill="0" autoLine="0" autoPict="0">
                <anchor moveWithCells="1">
                  <from>
                    <xdr:col>2</xdr:col>
                    <xdr:colOff>9525</xdr:colOff>
                    <xdr:row>117</xdr:row>
                    <xdr:rowOff>19050</xdr:rowOff>
                  </from>
                  <to>
                    <xdr:col>2</xdr:col>
                    <xdr:colOff>1581150</xdr:colOff>
                    <xdr:row>117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1" r:id="rId123" name="Drop Down 119">
              <controlPr defaultSize="0" autoLine="0" autoPict="0">
                <anchor moveWithCells="1">
                  <from>
                    <xdr:col>2</xdr:col>
                    <xdr:colOff>19050</xdr:colOff>
                    <xdr:row>120</xdr:row>
                    <xdr:rowOff>9525</xdr:rowOff>
                  </from>
                  <to>
                    <xdr:col>2</xdr:col>
                    <xdr:colOff>1171575</xdr:colOff>
                    <xdr:row>120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2" r:id="rId124" name="Check Box 120">
              <controlPr defaultSize="0" autoFill="0" autoLine="0" autoPict="0">
                <anchor moveWithCells="1">
                  <from>
                    <xdr:col>2</xdr:col>
                    <xdr:colOff>19050</xdr:colOff>
                    <xdr:row>121</xdr:row>
                    <xdr:rowOff>28575</xdr:rowOff>
                  </from>
                  <to>
                    <xdr:col>2</xdr:col>
                    <xdr:colOff>1590675</xdr:colOff>
                    <xdr:row>121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3" r:id="rId125" name="Drop Down 121">
              <controlPr defaultSize="0" autoLine="0" autoPict="0">
                <anchor moveWithCells="1">
                  <from>
                    <xdr:col>2</xdr:col>
                    <xdr:colOff>0</xdr:colOff>
                    <xdr:row>124</xdr:row>
                    <xdr:rowOff>28575</xdr:rowOff>
                  </from>
                  <to>
                    <xdr:col>2</xdr:col>
                    <xdr:colOff>1200150</xdr:colOff>
                    <xdr:row>124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4" r:id="rId126" name="Check Box 122">
              <controlPr defaultSize="0" autoFill="0" autoLine="0" autoPict="0">
                <anchor moveWithCells="1">
                  <from>
                    <xdr:col>2</xdr:col>
                    <xdr:colOff>19050</xdr:colOff>
                    <xdr:row>122</xdr:row>
                    <xdr:rowOff>28575</xdr:rowOff>
                  </from>
                  <to>
                    <xdr:col>2</xdr:col>
                    <xdr:colOff>1590675</xdr:colOff>
                    <xdr:row>122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5" r:id="rId127" name="Drop Down 123">
              <controlPr defaultSize="0" autoLine="0" autoPict="0">
                <anchor moveWithCells="1">
                  <from>
                    <xdr:col>2</xdr:col>
                    <xdr:colOff>0</xdr:colOff>
                    <xdr:row>123</xdr:row>
                    <xdr:rowOff>28575</xdr:rowOff>
                  </from>
                  <to>
                    <xdr:col>2</xdr:col>
                    <xdr:colOff>1200150</xdr:colOff>
                    <xdr:row>123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6" r:id="rId128" name="Check Box 12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126</xdr:row>
                    <xdr:rowOff>9525</xdr:rowOff>
                  </from>
                  <to>
                    <xdr:col>2</xdr:col>
                    <xdr:colOff>1771650</xdr:colOff>
                    <xdr:row>127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7" r:id="rId129" name="Check Box 125">
              <controlPr defaultSize="0" autoFill="0" autoLine="0" autoPict="0">
                <anchor moveWithCells="1">
                  <from>
                    <xdr:col>2</xdr:col>
                    <xdr:colOff>9525</xdr:colOff>
                    <xdr:row>127</xdr:row>
                    <xdr:rowOff>19050</xdr:rowOff>
                  </from>
                  <to>
                    <xdr:col>2</xdr:col>
                    <xdr:colOff>1581150</xdr:colOff>
                    <xdr:row>127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8" r:id="rId130" name="Drop Down 126">
              <controlPr defaultSize="0" autoLine="0" autoPict="0">
                <anchor moveWithCells="1">
                  <from>
                    <xdr:col>2</xdr:col>
                    <xdr:colOff>19050</xdr:colOff>
                    <xdr:row>130</xdr:row>
                    <xdr:rowOff>9525</xdr:rowOff>
                  </from>
                  <to>
                    <xdr:col>2</xdr:col>
                    <xdr:colOff>1171575</xdr:colOff>
                    <xdr:row>130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" r:id="rId131" name="Check Box 127">
              <controlPr defaultSize="0" autoFill="0" autoLine="0" autoPict="0">
                <anchor moveWithCells="1">
                  <from>
                    <xdr:col>2</xdr:col>
                    <xdr:colOff>19050</xdr:colOff>
                    <xdr:row>131</xdr:row>
                    <xdr:rowOff>28575</xdr:rowOff>
                  </from>
                  <to>
                    <xdr:col>2</xdr:col>
                    <xdr:colOff>1590675</xdr:colOff>
                    <xdr:row>131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" r:id="rId132" name="Drop Down 128">
              <controlPr defaultSize="0" autoLine="0" autoPict="0">
                <anchor moveWithCells="1">
                  <from>
                    <xdr:col>2</xdr:col>
                    <xdr:colOff>0</xdr:colOff>
                    <xdr:row>134</xdr:row>
                    <xdr:rowOff>28575</xdr:rowOff>
                  </from>
                  <to>
                    <xdr:col>2</xdr:col>
                    <xdr:colOff>1200150</xdr:colOff>
                    <xdr:row>134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" r:id="rId133" name="Check Box 129">
              <controlPr defaultSize="0" autoFill="0" autoLine="0" autoPict="0">
                <anchor moveWithCells="1">
                  <from>
                    <xdr:col>2</xdr:col>
                    <xdr:colOff>19050</xdr:colOff>
                    <xdr:row>132</xdr:row>
                    <xdr:rowOff>28575</xdr:rowOff>
                  </from>
                  <to>
                    <xdr:col>2</xdr:col>
                    <xdr:colOff>1590675</xdr:colOff>
                    <xdr:row>132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" r:id="rId134" name="Drop Down 130">
              <controlPr defaultSize="0" autoLine="0" autoPict="0">
                <anchor moveWithCells="1">
                  <from>
                    <xdr:col>2</xdr:col>
                    <xdr:colOff>0</xdr:colOff>
                    <xdr:row>133</xdr:row>
                    <xdr:rowOff>28575</xdr:rowOff>
                  </from>
                  <to>
                    <xdr:col>2</xdr:col>
                    <xdr:colOff>1200150</xdr:colOff>
                    <xdr:row>133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" r:id="rId135" name="Check Box 131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136</xdr:row>
                    <xdr:rowOff>9525</xdr:rowOff>
                  </from>
                  <to>
                    <xdr:col>2</xdr:col>
                    <xdr:colOff>1771650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" r:id="rId136" name="Check Box 132">
              <controlPr defaultSize="0" autoFill="0" autoLine="0" autoPict="0">
                <anchor moveWithCells="1">
                  <from>
                    <xdr:col>2</xdr:col>
                    <xdr:colOff>9525</xdr:colOff>
                    <xdr:row>137</xdr:row>
                    <xdr:rowOff>19050</xdr:rowOff>
                  </from>
                  <to>
                    <xdr:col>2</xdr:col>
                    <xdr:colOff>1581150</xdr:colOff>
                    <xdr:row>137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" r:id="rId137" name="Drop Down 133">
              <controlPr defaultSize="0" autoLine="0" autoPict="0">
                <anchor moveWithCells="1">
                  <from>
                    <xdr:col>2</xdr:col>
                    <xdr:colOff>19050</xdr:colOff>
                    <xdr:row>140</xdr:row>
                    <xdr:rowOff>9525</xdr:rowOff>
                  </from>
                  <to>
                    <xdr:col>2</xdr:col>
                    <xdr:colOff>1171575</xdr:colOff>
                    <xdr:row>140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" r:id="rId138" name="Check Box 134">
              <controlPr defaultSize="0" autoFill="0" autoLine="0" autoPict="0">
                <anchor moveWithCells="1">
                  <from>
                    <xdr:col>2</xdr:col>
                    <xdr:colOff>19050</xdr:colOff>
                    <xdr:row>141</xdr:row>
                    <xdr:rowOff>28575</xdr:rowOff>
                  </from>
                  <to>
                    <xdr:col>2</xdr:col>
                    <xdr:colOff>1590675</xdr:colOff>
                    <xdr:row>141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" r:id="rId139" name="Drop Down 135">
              <controlPr defaultSize="0" autoLine="0" autoPict="0">
                <anchor moveWithCells="1">
                  <from>
                    <xdr:col>2</xdr:col>
                    <xdr:colOff>0</xdr:colOff>
                    <xdr:row>144</xdr:row>
                    <xdr:rowOff>28575</xdr:rowOff>
                  </from>
                  <to>
                    <xdr:col>2</xdr:col>
                    <xdr:colOff>1200150</xdr:colOff>
                    <xdr:row>144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" r:id="rId140" name="Check Box 136">
              <controlPr defaultSize="0" autoFill="0" autoLine="0" autoPict="0">
                <anchor moveWithCells="1">
                  <from>
                    <xdr:col>2</xdr:col>
                    <xdr:colOff>19050</xdr:colOff>
                    <xdr:row>142</xdr:row>
                    <xdr:rowOff>28575</xdr:rowOff>
                  </from>
                  <to>
                    <xdr:col>2</xdr:col>
                    <xdr:colOff>1590675</xdr:colOff>
                    <xdr:row>142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9" r:id="rId141" name="Drop Down 137">
              <controlPr defaultSize="0" autoLine="0" autoPict="0">
                <anchor moveWithCells="1">
                  <from>
                    <xdr:col>2</xdr:col>
                    <xdr:colOff>0</xdr:colOff>
                    <xdr:row>143</xdr:row>
                    <xdr:rowOff>28575</xdr:rowOff>
                  </from>
                  <to>
                    <xdr:col>2</xdr:col>
                    <xdr:colOff>1200150</xdr:colOff>
                    <xdr:row>143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0" r:id="rId142" name="Check Box 13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146</xdr:row>
                    <xdr:rowOff>9525</xdr:rowOff>
                  </from>
                  <to>
                    <xdr:col>2</xdr:col>
                    <xdr:colOff>1771650</xdr:colOff>
                    <xdr:row>147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1" r:id="rId143" name="Check Box 139">
              <controlPr defaultSize="0" autoFill="0" autoLine="0" autoPict="0">
                <anchor moveWithCells="1">
                  <from>
                    <xdr:col>2</xdr:col>
                    <xdr:colOff>9525</xdr:colOff>
                    <xdr:row>147</xdr:row>
                    <xdr:rowOff>19050</xdr:rowOff>
                  </from>
                  <to>
                    <xdr:col>2</xdr:col>
                    <xdr:colOff>1581150</xdr:colOff>
                    <xdr:row>147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2" r:id="rId144" name="Drop Down 140">
              <controlPr defaultSize="0" autoLine="0" autoPict="0">
                <anchor moveWithCells="1">
                  <from>
                    <xdr:col>2</xdr:col>
                    <xdr:colOff>19050</xdr:colOff>
                    <xdr:row>150</xdr:row>
                    <xdr:rowOff>9525</xdr:rowOff>
                  </from>
                  <to>
                    <xdr:col>2</xdr:col>
                    <xdr:colOff>1171575</xdr:colOff>
                    <xdr:row>150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3" r:id="rId145" name="Check Box 141">
              <controlPr defaultSize="0" autoFill="0" autoLine="0" autoPict="0">
                <anchor moveWithCells="1">
                  <from>
                    <xdr:col>2</xdr:col>
                    <xdr:colOff>19050</xdr:colOff>
                    <xdr:row>151</xdr:row>
                    <xdr:rowOff>28575</xdr:rowOff>
                  </from>
                  <to>
                    <xdr:col>2</xdr:col>
                    <xdr:colOff>1590675</xdr:colOff>
                    <xdr:row>151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4" r:id="rId146" name="Drop Down 142">
              <controlPr defaultSize="0" autoLine="0" autoPict="0">
                <anchor moveWithCells="1">
                  <from>
                    <xdr:col>2</xdr:col>
                    <xdr:colOff>0</xdr:colOff>
                    <xdr:row>154</xdr:row>
                    <xdr:rowOff>28575</xdr:rowOff>
                  </from>
                  <to>
                    <xdr:col>2</xdr:col>
                    <xdr:colOff>1200150</xdr:colOff>
                    <xdr:row>154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5" r:id="rId147" name="Check Box 143">
              <controlPr defaultSize="0" autoFill="0" autoLine="0" autoPict="0">
                <anchor moveWithCells="1">
                  <from>
                    <xdr:col>2</xdr:col>
                    <xdr:colOff>19050</xdr:colOff>
                    <xdr:row>152</xdr:row>
                    <xdr:rowOff>28575</xdr:rowOff>
                  </from>
                  <to>
                    <xdr:col>2</xdr:col>
                    <xdr:colOff>1590675</xdr:colOff>
                    <xdr:row>152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6" r:id="rId148" name="Drop Down 144">
              <controlPr defaultSize="0" autoLine="0" autoPict="0">
                <anchor moveWithCells="1">
                  <from>
                    <xdr:col>2</xdr:col>
                    <xdr:colOff>0</xdr:colOff>
                    <xdr:row>153</xdr:row>
                    <xdr:rowOff>28575</xdr:rowOff>
                  </from>
                  <to>
                    <xdr:col>2</xdr:col>
                    <xdr:colOff>1200150</xdr:colOff>
                    <xdr:row>153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7" r:id="rId149" name="Check Box 14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156</xdr:row>
                    <xdr:rowOff>9525</xdr:rowOff>
                  </from>
                  <to>
                    <xdr:col>2</xdr:col>
                    <xdr:colOff>1771650</xdr:colOff>
                    <xdr:row>157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8" r:id="rId150" name="Check Box 146">
              <controlPr defaultSize="0" autoFill="0" autoLine="0" autoPict="0">
                <anchor moveWithCells="1">
                  <from>
                    <xdr:col>2</xdr:col>
                    <xdr:colOff>9525</xdr:colOff>
                    <xdr:row>157</xdr:row>
                    <xdr:rowOff>19050</xdr:rowOff>
                  </from>
                  <to>
                    <xdr:col>2</xdr:col>
                    <xdr:colOff>1581150</xdr:colOff>
                    <xdr:row>157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19" r:id="rId151" name="Drop Down 147">
              <controlPr defaultSize="0" autoLine="0" autoPict="0">
                <anchor moveWithCells="1">
                  <from>
                    <xdr:col>2</xdr:col>
                    <xdr:colOff>19050</xdr:colOff>
                    <xdr:row>160</xdr:row>
                    <xdr:rowOff>9525</xdr:rowOff>
                  </from>
                  <to>
                    <xdr:col>2</xdr:col>
                    <xdr:colOff>1171575</xdr:colOff>
                    <xdr:row>160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0" r:id="rId152" name="Check Box 148">
              <controlPr defaultSize="0" autoFill="0" autoLine="0" autoPict="0">
                <anchor moveWithCells="1">
                  <from>
                    <xdr:col>2</xdr:col>
                    <xdr:colOff>19050</xdr:colOff>
                    <xdr:row>161</xdr:row>
                    <xdr:rowOff>28575</xdr:rowOff>
                  </from>
                  <to>
                    <xdr:col>2</xdr:col>
                    <xdr:colOff>1590675</xdr:colOff>
                    <xdr:row>161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1" r:id="rId153" name="Drop Down 149">
              <controlPr defaultSize="0" autoLine="0" autoPict="0">
                <anchor moveWithCells="1">
                  <from>
                    <xdr:col>2</xdr:col>
                    <xdr:colOff>0</xdr:colOff>
                    <xdr:row>164</xdr:row>
                    <xdr:rowOff>28575</xdr:rowOff>
                  </from>
                  <to>
                    <xdr:col>2</xdr:col>
                    <xdr:colOff>1200150</xdr:colOff>
                    <xdr:row>164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2" r:id="rId154" name="Check Box 150">
              <controlPr defaultSize="0" autoFill="0" autoLine="0" autoPict="0">
                <anchor moveWithCells="1">
                  <from>
                    <xdr:col>2</xdr:col>
                    <xdr:colOff>19050</xdr:colOff>
                    <xdr:row>162</xdr:row>
                    <xdr:rowOff>28575</xdr:rowOff>
                  </from>
                  <to>
                    <xdr:col>2</xdr:col>
                    <xdr:colOff>1590675</xdr:colOff>
                    <xdr:row>162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3" r:id="rId155" name="Drop Down 151">
              <controlPr defaultSize="0" autoLine="0" autoPict="0">
                <anchor moveWithCells="1">
                  <from>
                    <xdr:col>2</xdr:col>
                    <xdr:colOff>0</xdr:colOff>
                    <xdr:row>163</xdr:row>
                    <xdr:rowOff>28575</xdr:rowOff>
                  </from>
                  <to>
                    <xdr:col>2</xdr:col>
                    <xdr:colOff>1200150</xdr:colOff>
                    <xdr:row>163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4" r:id="rId156" name="Check Box 152">
              <controlPr defaultSize="0" autoFill="0" autoLine="0" autoPict="0" altText="">
                <anchor moveWithCells="1">
                  <from>
                    <xdr:col>1</xdr:col>
                    <xdr:colOff>2152650</xdr:colOff>
                    <xdr:row>171</xdr:row>
                    <xdr:rowOff>38100</xdr:rowOff>
                  </from>
                  <to>
                    <xdr:col>2</xdr:col>
                    <xdr:colOff>981075</xdr:colOff>
                    <xdr:row>171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5" r:id="rId157" name="Check Box 153">
              <controlPr defaultSize="0" autoFill="0" autoLine="0" autoPict="0">
                <anchor moveWithCells="1">
                  <from>
                    <xdr:col>1</xdr:col>
                    <xdr:colOff>2152650</xdr:colOff>
                    <xdr:row>172</xdr:row>
                    <xdr:rowOff>28575</xdr:rowOff>
                  </from>
                  <to>
                    <xdr:col>2</xdr:col>
                    <xdr:colOff>990600</xdr:colOff>
                    <xdr:row>172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6" r:id="rId158" name="Check Box 154">
              <controlPr defaultSize="0" autoFill="0" autoLine="0" autoPict="0">
                <anchor moveWithCells="1">
                  <from>
                    <xdr:col>2</xdr:col>
                    <xdr:colOff>0</xdr:colOff>
                    <xdr:row>175</xdr:row>
                    <xdr:rowOff>38100</xdr:rowOff>
                  </from>
                  <to>
                    <xdr:col>2</xdr:col>
                    <xdr:colOff>981075</xdr:colOff>
                    <xdr:row>175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7" r:id="rId159" name="Check Box 155">
              <controlPr defaultSize="0" autoFill="0" autoLine="0" autoPict="0">
                <anchor moveWithCells="1">
                  <from>
                    <xdr:col>1</xdr:col>
                    <xdr:colOff>2143125</xdr:colOff>
                    <xdr:row>182</xdr:row>
                    <xdr:rowOff>28575</xdr:rowOff>
                  </from>
                  <to>
                    <xdr:col>2</xdr:col>
                    <xdr:colOff>981075</xdr:colOff>
                    <xdr:row>182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8" r:id="rId160" name="Check Box 156">
              <controlPr defaultSize="0" autoFill="0" autoLine="0" autoPict="0">
                <anchor moveWithCells="1">
                  <from>
                    <xdr:col>1</xdr:col>
                    <xdr:colOff>2152650</xdr:colOff>
                    <xdr:row>181</xdr:row>
                    <xdr:rowOff>28575</xdr:rowOff>
                  </from>
                  <to>
                    <xdr:col>2</xdr:col>
                    <xdr:colOff>990600</xdr:colOff>
                    <xdr:row>181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29" r:id="rId161" name="Check Box 157">
              <controlPr defaultSize="0" autoFill="0" autoLine="0" autoPict="0">
                <anchor moveWithCells="1">
                  <from>
                    <xdr:col>2</xdr:col>
                    <xdr:colOff>0</xdr:colOff>
                    <xdr:row>184</xdr:row>
                    <xdr:rowOff>28575</xdr:rowOff>
                  </from>
                  <to>
                    <xdr:col>2</xdr:col>
                    <xdr:colOff>990600</xdr:colOff>
                    <xdr:row>184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0" r:id="rId162" name="Check Box 158">
              <controlPr defaultSize="0" autoFill="0" autoLine="0" autoPict="0">
                <anchor moveWithCells="1">
                  <from>
                    <xdr:col>2</xdr:col>
                    <xdr:colOff>0</xdr:colOff>
                    <xdr:row>185</xdr:row>
                    <xdr:rowOff>38100</xdr:rowOff>
                  </from>
                  <to>
                    <xdr:col>2</xdr:col>
                    <xdr:colOff>1000125</xdr:colOff>
                    <xdr:row>185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1" r:id="rId163" name="Check Box 159">
              <controlPr defaultSize="0" autoFill="0" autoLine="0" autoPict="0">
                <anchor moveWithCells="1">
                  <from>
                    <xdr:col>2</xdr:col>
                    <xdr:colOff>0</xdr:colOff>
                    <xdr:row>174</xdr:row>
                    <xdr:rowOff>28575</xdr:rowOff>
                  </from>
                  <to>
                    <xdr:col>2</xdr:col>
                    <xdr:colOff>990600</xdr:colOff>
                    <xdr:row>174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2" r:id="rId164" name="Drop Down 160">
              <controlPr defaultSize="0" autoLine="0" autoPict="0">
                <anchor moveWithCells="1">
                  <from>
                    <xdr:col>2</xdr:col>
                    <xdr:colOff>0</xdr:colOff>
                    <xdr:row>193</xdr:row>
                    <xdr:rowOff>19050</xdr:rowOff>
                  </from>
                  <to>
                    <xdr:col>2</xdr:col>
                    <xdr:colOff>1276350</xdr:colOff>
                    <xdr:row>193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3" r:id="rId165" name="Drop Down 161">
              <controlPr defaultSize="0" autoLine="0" autoPict="0">
                <anchor moveWithCells="1">
                  <from>
                    <xdr:col>2</xdr:col>
                    <xdr:colOff>0</xdr:colOff>
                    <xdr:row>190</xdr:row>
                    <xdr:rowOff>19050</xdr:rowOff>
                  </from>
                  <to>
                    <xdr:col>2</xdr:col>
                    <xdr:colOff>1266825</xdr:colOff>
                    <xdr:row>190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4" r:id="rId166" name="Drop Down 162">
              <controlPr defaultSize="0" autoLine="0" autoPict="0">
                <anchor moveWithCells="1">
                  <from>
                    <xdr:col>2</xdr:col>
                    <xdr:colOff>0</xdr:colOff>
                    <xdr:row>189</xdr:row>
                    <xdr:rowOff>28575</xdr:rowOff>
                  </from>
                  <to>
                    <xdr:col>2</xdr:col>
                    <xdr:colOff>1276350</xdr:colOff>
                    <xdr:row>189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5" r:id="rId167" name="Check Box 163">
              <controlPr defaultSize="0" autoFill="0" autoLine="0" autoPict="0">
                <anchor moveWithCells="1">
                  <from>
                    <xdr:col>1</xdr:col>
                    <xdr:colOff>2143125</xdr:colOff>
                    <xdr:row>192</xdr:row>
                    <xdr:rowOff>28575</xdr:rowOff>
                  </from>
                  <to>
                    <xdr:col>2</xdr:col>
                    <xdr:colOff>981075</xdr:colOff>
                    <xdr:row>192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6" r:id="rId168" name="Check Box 164">
              <controlPr defaultSize="0" autoFill="0" autoLine="0" autoPict="0">
                <anchor moveWithCells="1">
                  <from>
                    <xdr:col>1</xdr:col>
                    <xdr:colOff>2152650</xdr:colOff>
                    <xdr:row>191</xdr:row>
                    <xdr:rowOff>28575</xdr:rowOff>
                  </from>
                  <to>
                    <xdr:col>2</xdr:col>
                    <xdr:colOff>990600</xdr:colOff>
                    <xdr:row>191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7" r:id="rId169" name="Check Box 165">
              <controlPr defaultSize="0" autoFill="0" autoLine="0" autoPict="0">
                <anchor moveWithCells="1">
                  <from>
                    <xdr:col>2</xdr:col>
                    <xdr:colOff>0</xdr:colOff>
                    <xdr:row>194</xdr:row>
                    <xdr:rowOff>28575</xdr:rowOff>
                  </from>
                  <to>
                    <xdr:col>2</xdr:col>
                    <xdr:colOff>990600</xdr:colOff>
                    <xdr:row>194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8" r:id="rId170" name="Check Box 166">
              <controlPr defaultSize="0" autoFill="0" autoLine="0" autoPict="0">
                <anchor moveWithCells="1">
                  <from>
                    <xdr:col>2</xdr:col>
                    <xdr:colOff>0</xdr:colOff>
                    <xdr:row>195</xdr:row>
                    <xdr:rowOff>38100</xdr:rowOff>
                  </from>
                  <to>
                    <xdr:col>2</xdr:col>
                    <xdr:colOff>1000125</xdr:colOff>
                    <xdr:row>195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39" r:id="rId171" name="Check Box 16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167</xdr:row>
                    <xdr:rowOff>9525</xdr:rowOff>
                  </from>
                  <to>
                    <xdr:col>2</xdr:col>
                    <xdr:colOff>1771650</xdr:colOff>
                    <xdr:row>168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0" r:id="rId172" name="Drop Down 168">
              <controlPr defaultSize="0" autoLine="0" autoPict="0">
                <anchor moveWithCells="1">
                  <from>
                    <xdr:col>2</xdr:col>
                    <xdr:colOff>0</xdr:colOff>
                    <xdr:row>203</xdr:row>
                    <xdr:rowOff>19050</xdr:rowOff>
                  </from>
                  <to>
                    <xdr:col>2</xdr:col>
                    <xdr:colOff>1276350</xdr:colOff>
                    <xdr:row>203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1" r:id="rId173" name="Drop Down 169">
              <controlPr defaultSize="0" autoLine="0" autoPict="0">
                <anchor moveWithCells="1">
                  <from>
                    <xdr:col>2</xdr:col>
                    <xdr:colOff>0</xdr:colOff>
                    <xdr:row>200</xdr:row>
                    <xdr:rowOff>19050</xdr:rowOff>
                  </from>
                  <to>
                    <xdr:col>2</xdr:col>
                    <xdr:colOff>1266825</xdr:colOff>
                    <xdr:row>200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2" r:id="rId174" name="Drop Down 170">
              <controlPr defaultSize="0" autoLine="0" autoPict="0">
                <anchor moveWithCells="1">
                  <from>
                    <xdr:col>2</xdr:col>
                    <xdr:colOff>0</xdr:colOff>
                    <xdr:row>199</xdr:row>
                    <xdr:rowOff>28575</xdr:rowOff>
                  </from>
                  <to>
                    <xdr:col>2</xdr:col>
                    <xdr:colOff>1276350</xdr:colOff>
                    <xdr:row>199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3" r:id="rId175" name="Check Box 171">
              <controlPr defaultSize="0" autoFill="0" autoLine="0" autoPict="0">
                <anchor moveWithCells="1">
                  <from>
                    <xdr:col>1</xdr:col>
                    <xdr:colOff>2143125</xdr:colOff>
                    <xdr:row>202</xdr:row>
                    <xdr:rowOff>28575</xdr:rowOff>
                  </from>
                  <to>
                    <xdr:col>2</xdr:col>
                    <xdr:colOff>981075</xdr:colOff>
                    <xdr:row>202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4" r:id="rId176" name="Check Box 172">
              <controlPr defaultSize="0" autoFill="0" autoLine="0" autoPict="0">
                <anchor moveWithCells="1">
                  <from>
                    <xdr:col>1</xdr:col>
                    <xdr:colOff>2152650</xdr:colOff>
                    <xdr:row>201</xdr:row>
                    <xdr:rowOff>28575</xdr:rowOff>
                  </from>
                  <to>
                    <xdr:col>2</xdr:col>
                    <xdr:colOff>990600</xdr:colOff>
                    <xdr:row>201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5" r:id="rId177" name="Check Box 173">
              <controlPr defaultSize="0" autoFill="0" autoLine="0" autoPict="0">
                <anchor moveWithCells="1">
                  <from>
                    <xdr:col>2</xdr:col>
                    <xdr:colOff>0</xdr:colOff>
                    <xdr:row>204</xdr:row>
                    <xdr:rowOff>28575</xdr:rowOff>
                  </from>
                  <to>
                    <xdr:col>2</xdr:col>
                    <xdr:colOff>990600</xdr:colOff>
                    <xdr:row>204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6" r:id="rId178" name="Check Box 174">
              <controlPr defaultSize="0" autoFill="0" autoLine="0" autoPict="0">
                <anchor moveWithCells="1">
                  <from>
                    <xdr:col>2</xdr:col>
                    <xdr:colOff>0</xdr:colOff>
                    <xdr:row>205</xdr:row>
                    <xdr:rowOff>38100</xdr:rowOff>
                  </from>
                  <to>
                    <xdr:col>2</xdr:col>
                    <xdr:colOff>1000125</xdr:colOff>
                    <xdr:row>205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7" r:id="rId179" name="Drop Down 175">
              <controlPr defaultSize="0" autoLine="0" autoPict="0">
                <anchor moveWithCells="1">
                  <from>
                    <xdr:col>2</xdr:col>
                    <xdr:colOff>0</xdr:colOff>
                    <xdr:row>213</xdr:row>
                    <xdr:rowOff>19050</xdr:rowOff>
                  </from>
                  <to>
                    <xdr:col>2</xdr:col>
                    <xdr:colOff>1276350</xdr:colOff>
                    <xdr:row>213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8" r:id="rId180" name="Drop Down 176">
              <controlPr defaultSize="0" autoLine="0" autoPict="0">
                <anchor moveWithCells="1">
                  <from>
                    <xdr:col>2</xdr:col>
                    <xdr:colOff>0</xdr:colOff>
                    <xdr:row>210</xdr:row>
                    <xdr:rowOff>19050</xdr:rowOff>
                  </from>
                  <to>
                    <xdr:col>2</xdr:col>
                    <xdr:colOff>1266825</xdr:colOff>
                    <xdr:row>210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49" r:id="rId181" name="Drop Down 177">
              <controlPr defaultSize="0" autoLine="0" autoPict="0">
                <anchor moveWithCells="1">
                  <from>
                    <xdr:col>2</xdr:col>
                    <xdr:colOff>0</xdr:colOff>
                    <xdr:row>209</xdr:row>
                    <xdr:rowOff>28575</xdr:rowOff>
                  </from>
                  <to>
                    <xdr:col>2</xdr:col>
                    <xdr:colOff>1276350</xdr:colOff>
                    <xdr:row>209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0" r:id="rId182" name="Check Box 178">
              <controlPr defaultSize="0" autoFill="0" autoLine="0" autoPict="0">
                <anchor moveWithCells="1">
                  <from>
                    <xdr:col>1</xdr:col>
                    <xdr:colOff>2143125</xdr:colOff>
                    <xdr:row>212</xdr:row>
                    <xdr:rowOff>28575</xdr:rowOff>
                  </from>
                  <to>
                    <xdr:col>2</xdr:col>
                    <xdr:colOff>981075</xdr:colOff>
                    <xdr:row>212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1" r:id="rId183" name="Check Box 179">
              <controlPr defaultSize="0" autoFill="0" autoLine="0" autoPict="0">
                <anchor moveWithCells="1">
                  <from>
                    <xdr:col>1</xdr:col>
                    <xdr:colOff>2152650</xdr:colOff>
                    <xdr:row>211</xdr:row>
                    <xdr:rowOff>28575</xdr:rowOff>
                  </from>
                  <to>
                    <xdr:col>2</xdr:col>
                    <xdr:colOff>990600</xdr:colOff>
                    <xdr:row>211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2" r:id="rId184" name="Check Box 180">
              <controlPr defaultSize="0" autoFill="0" autoLine="0" autoPict="0">
                <anchor moveWithCells="1">
                  <from>
                    <xdr:col>2</xdr:col>
                    <xdr:colOff>0</xdr:colOff>
                    <xdr:row>214</xdr:row>
                    <xdr:rowOff>28575</xdr:rowOff>
                  </from>
                  <to>
                    <xdr:col>2</xdr:col>
                    <xdr:colOff>990600</xdr:colOff>
                    <xdr:row>214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3" r:id="rId185" name="Check Box 181">
              <controlPr defaultSize="0" autoFill="0" autoLine="0" autoPict="0">
                <anchor moveWithCells="1">
                  <from>
                    <xdr:col>2</xdr:col>
                    <xdr:colOff>0</xdr:colOff>
                    <xdr:row>215</xdr:row>
                    <xdr:rowOff>38100</xdr:rowOff>
                  </from>
                  <to>
                    <xdr:col>2</xdr:col>
                    <xdr:colOff>1000125</xdr:colOff>
                    <xdr:row>215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4" r:id="rId186" name="Drop Down 182">
              <controlPr defaultSize="0" autoLine="0" autoPict="0">
                <anchor moveWithCells="1">
                  <from>
                    <xdr:col>2</xdr:col>
                    <xdr:colOff>0</xdr:colOff>
                    <xdr:row>223</xdr:row>
                    <xdr:rowOff>19050</xdr:rowOff>
                  </from>
                  <to>
                    <xdr:col>2</xdr:col>
                    <xdr:colOff>1276350</xdr:colOff>
                    <xdr:row>223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5" r:id="rId187" name="Drop Down 183">
              <controlPr defaultSize="0" autoLine="0" autoPict="0">
                <anchor moveWithCells="1">
                  <from>
                    <xdr:col>2</xdr:col>
                    <xdr:colOff>0</xdr:colOff>
                    <xdr:row>220</xdr:row>
                    <xdr:rowOff>19050</xdr:rowOff>
                  </from>
                  <to>
                    <xdr:col>2</xdr:col>
                    <xdr:colOff>1266825</xdr:colOff>
                    <xdr:row>220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6" r:id="rId188" name="Drop Down 184">
              <controlPr defaultSize="0" autoLine="0" autoPict="0">
                <anchor moveWithCells="1">
                  <from>
                    <xdr:col>2</xdr:col>
                    <xdr:colOff>0</xdr:colOff>
                    <xdr:row>219</xdr:row>
                    <xdr:rowOff>28575</xdr:rowOff>
                  </from>
                  <to>
                    <xdr:col>2</xdr:col>
                    <xdr:colOff>1276350</xdr:colOff>
                    <xdr:row>219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7" r:id="rId189" name="Check Box 185">
              <controlPr defaultSize="0" autoFill="0" autoLine="0" autoPict="0">
                <anchor moveWithCells="1">
                  <from>
                    <xdr:col>1</xdr:col>
                    <xdr:colOff>2143125</xdr:colOff>
                    <xdr:row>222</xdr:row>
                    <xdr:rowOff>28575</xdr:rowOff>
                  </from>
                  <to>
                    <xdr:col>2</xdr:col>
                    <xdr:colOff>981075</xdr:colOff>
                    <xdr:row>222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8" r:id="rId190" name="Check Box 186">
              <controlPr defaultSize="0" autoFill="0" autoLine="0" autoPict="0">
                <anchor moveWithCells="1">
                  <from>
                    <xdr:col>1</xdr:col>
                    <xdr:colOff>2152650</xdr:colOff>
                    <xdr:row>221</xdr:row>
                    <xdr:rowOff>28575</xdr:rowOff>
                  </from>
                  <to>
                    <xdr:col>2</xdr:col>
                    <xdr:colOff>990600</xdr:colOff>
                    <xdr:row>221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59" r:id="rId191" name="Check Box 187">
              <controlPr defaultSize="0" autoFill="0" autoLine="0" autoPict="0">
                <anchor moveWithCells="1">
                  <from>
                    <xdr:col>2</xdr:col>
                    <xdr:colOff>0</xdr:colOff>
                    <xdr:row>224</xdr:row>
                    <xdr:rowOff>28575</xdr:rowOff>
                  </from>
                  <to>
                    <xdr:col>2</xdr:col>
                    <xdr:colOff>990600</xdr:colOff>
                    <xdr:row>224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0" r:id="rId192" name="Check Box 188">
              <controlPr defaultSize="0" autoFill="0" autoLine="0" autoPict="0">
                <anchor moveWithCells="1">
                  <from>
                    <xdr:col>2</xdr:col>
                    <xdr:colOff>0</xdr:colOff>
                    <xdr:row>225</xdr:row>
                    <xdr:rowOff>38100</xdr:rowOff>
                  </from>
                  <to>
                    <xdr:col>2</xdr:col>
                    <xdr:colOff>1000125</xdr:colOff>
                    <xdr:row>225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1" r:id="rId193" name="Drop Down 189">
              <controlPr defaultSize="0" autoLine="0" autoPict="0">
                <anchor moveWithCells="1">
                  <from>
                    <xdr:col>2</xdr:col>
                    <xdr:colOff>0</xdr:colOff>
                    <xdr:row>233</xdr:row>
                    <xdr:rowOff>19050</xdr:rowOff>
                  </from>
                  <to>
                    <xdr:col>2</xdr:col>
                    <xdr:colOff>1276350</xdr:colOff>
                    <xdr:row>233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2" r:id="rId194" name="Drop Down 190">
              <controlPr defaultSize="0" autoLine="0" autoPict="0">
                <anchor moveWithCells="1">
                  <from>
                    <xdr:col>2</xdr:col>
                    <xdr:colOff>0</xdr:colOff>
                    <xdr:row>230</xdr:row>
                    <xdr:rowOff>19050</xdr:rowOff>
                  </from>
                  <to>
                    <xdr:col>2</xdr:col>
                    <xdr:colOff>1266825</xdr:colOff>
                    <xdr:row>230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3" r:id="rId195" name="Drop Down 191">
              <controlPr defaultSize="0" autoLine="0" autoPict="0">
                <anchor moveWithCells="1">
                  <from>
                    <xdr:col>2</xdr:col>
                    <xdr:colOff>0</xdr:colOff>
                    <xdr:row>229</xdr:row>
                    <xdr:rowOff>28575</xdr:rowOff>
                  </from>
                  <to>
                    <xdr:col>2</xdr:col>
                    <xdr:colOff>1276350</xdr:colOff>
                    <xdr:row>229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4" r:id="rId196" name="Check Box 192">
              <controlPr defaultSize="0" autoFill="0" autoLine="0" autoPict="0">
                <anchor moveWithCells="1">
                  <from>
                    <xdr:col>1</xdr:col>
                    <xdr:colOff>2143125</xdr:colOff>
                    <xdr:row>232</xdr:row>
                    <xdr:rowOff>28575</xdr:rowOff>
                  </from>
                  <to>
                    <xdr:col>2</xdr:col>
                    <xdr:colOff>981075</xdr:colOff>
                    <xdr:row>232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5" r:id="rId197" name="Check Box 193">
              <controlPr defaultSize="0" autoFill="0" autoLine="0" autoPict="0">
                <anchor moveWithCells="1">
                  <from>
                    <xdr:col>1</xdr:col>
                    <xdr:colOff>2152650</xdr:colOff>
                    <xdr:row>231</xdr:row>
                    <xdr:rowOff>28575</xdr:rowOff>
                  </from>
                  <to>
                    <xdr:col>2</xdr:col>
                    <xdr:colOff>990600</xdr:colOff>
                    <xdr:row>231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6" r:id="rId198" name="Check Box 194">
              <controlPr defaultSize="0" autoFill="0" autoLine="0" autoPict="0">
                <anchor moveWithCells="1">
                  <from>
                    <xdr:col>2</xdr:col>
                    <xdr:colOff>0</xdr:colOff>
                    <xdr:row>234</xdr:row>
                    <xdr:rowOff>28575</xdr:rowOff>
                  </from>
                  <to>
                    <xdr:col>2</xdr:col>
                    <xdr:colOff>990600</xdr:colOff>
                    <xdr:row>234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7" r:id="rId199" name="Check Box 195">
              <controlPr defaultSize="0" autoFill="0" autoLine="0" autoPict="0">
                <anchor moveWithCells="1">
                  <from>
                    <xdr:col>2</xdr:col>
                    <xdr:colOff>0</xdr:colOff>
                    <xdr:row>235</xdr:row>
                    <xdr:rowOff>38100</xdr:rowOff>
                  </from>
                  <to>
                    <xdr:col>2</xdr:col>
                    <xdr:colOff>1000125</xdr:colOff>
                    <xdr:row>235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8" r:id="rId200" name="Drop Down 196">
              <controlPr defaultSize="0" autoLine="0" autoPict="0">
                <anchor moveWithCells="1">
                  <from>
                    <xdr:col>2</xdr:col>
                    <xdr:colOff>0</xdr:colOff>
                    <xdr:row>243</xdr:row>
                    <xdr:rowOff>19050</xdr:rowOff>
                  </from>
                  <to>
                    <xdr:col>2</xdr:col>
                    <xdr:colOff>1276350</xdr:colOff>
                    <xdr:row>243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69" r:id="rId201" name="Drop Down 197">
              <controlPr defaultSize="0" autoLine="0" autoPict="0">
                <anchor moveWithCells="1">
                  <from>
                    <xdr:col>2</xdr:col>
                    <xdr:colOff>0</xdr:colOff>
                    <xdr:row>240</xdr:row>
                    <xdr:rowOff>19050</xdr:rowOff>
                  </from>
                  <to>
                    <xdr:col>2</xdr:col>
                    <xdr:colOff>1266825</xdr:colOff>
                    <xdr:row>240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0" r:id="rId202" name="Drop Down 198">
              <controlPr defaultSize="0" autoLine="0" autoPict="0">
                <anchor moveWithCells="1">
                  <from>
                    <xdr:col>2</xdr:col>
                    <xdr:colOff>0</xdr:colOff>
                    <xdr:row>239</xdr:row>
                    <xdr:rowOff>28575</xdr:rowOff>
                  </from>
                  <to>
                    <xdr:col>2</xdr:col>
                    <xdr:colOff>1276350</xdr:colOff>
                    <xdr:row>239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1" r:id="rId203" name="Check Box 199">
              <controlPr defaultSize="0" autoFill="0" autoLine="0" autoPict="0">
                <anchor moveWithCells="1">
                  <from>
                    <xdr:col>1</xdr:col>
                    <xdr:colOff>2143125</xdr:colOff>
                    <xdr:row>242</xdr:row>
                    <xdr:rowOff>28575</xdr:rowOff>
                  </from>
                  <to>
                    <xdr:col>2</xdr:col>
                    <xdr:colOff>981075</xdr:colOff>
                    <xdr:row>242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2" r:id="rId204" name="Check Box 200">
              <controlPr defaultSize="0" autoFill="0" autoLine="0" autoPict="0">
                <anchor moveWithCells="1">
                  <from>
                    <xdr:col>1</xdr:col>
                    <xdr:colOff>2152650</xdr:colOff>
                    <xdr:row>241</xdr:row>
                    <xdr:rowOff>28575</xdr:rowOff>
                  </from>
                  <to>
                    <xdr:col>2</xdr:col>
                    <xdr:colOff>990600</xdr:colOff>
                    <xdr:row>241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3" r:id="rId205" name="Check Box 201">
              <controlPr defaultSize="0" autoFill="0" autoLine="0" autoPict="0">
                <anchor moveWithCells="1">
                  <from>
                    <xdr:col>2</xdr:col>
                    <xdr:colOff>0</xdr:colOff>
                    <xdr:row>244</xdr:row>
                    <xdr:rowOff>28575</xdr:rowOff>
                  </from>
                  <to>
                    <xdr:col>2</xdr:col>
                    <xdr:colOff>990600</xdr:colOff>
                    <xdr:row>244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4" r:id="rId206" name="Check Box 202">
              <controlPr defaultSize="0" autoFill="0" autoLine="0" autoPict="0">
                <anchor moveWithCells="1">
                  <from>
                    <xdr:col>2</xdr:col>
                    <xdr:colOff>0</xdr:colOff>
                    <xdr:row>245</xdr:row>
                    <xdr:rowOff>38100</xdr:rowOff>
                  </from>
                  <to>
                    <xdr:col>2</xdr:col>
                    <xdr:colOff>1000125</xdr:colOff>
                    <xdr:row>245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5" r:id="rId207" name="Check Box 203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177</xdr:row>
                    <xdr:rowOff>9525</xdr:rowOff>
                  </from>
                  <to>
                    <xdr:col>2</xdr:col>
                    <xdr:colOff>1771650</xdr:colOff>
                    <xdr:row>178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6" r:id="rId208" name="Check Box 20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187</xdr:row>
                    <xdr:rowOff>9525</xdr:rowOff>
                  </from>
                  <to>
                    <xdr:col>2</xdr:col>
                    <xdr:colOff>1771650</xdr:colOff>
                    <xdr:row>188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" r:id="rId209" name="Check Box 205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197</xdr:row>
                    <xdr:rowOff>9525</xdr:rowOff>
                  </from>
                  <to>
                    <xdr:col>2</xdr:col>
                    <xdr:colOff>1771650</xdr:colOff>
                    <xdr:row>198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8" r:id="rId210" name="Check Box 206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207</xdr:row>
                    <xdr:rowOff>9525</xdr:rowOff>
                  </from>
                  <to>
                    <xdr:col>2</xdr:col>
                    <xdr:colOff>1771650</xdr:colOff>
                    <xdr:row>208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9" r:id="rId211" name="Check Box 207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217</xdr:row>
                    <xdr:rowOff>9525</xdr:rowOff>
                  </from>
                  <to>
                    <xdr:col>2</xdr:col>
                    <xdr:colOff>1771650</xdr:colOff>
                    <xdr:row>218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0" r:id="rId212" name="Check Box 208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227</xdr:row>
                    <xdr:rowOff>9525</xdr:rowOff>
                  </from>
                  <to>
                    <xdr:col>2</xdr:col>
                    <xdr:colOff>1771650</xdr:colOff>
                    <xdr:row>228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81" r:id="rId213" name="Check Box 209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237</xdr:row>
                    <xdr:rowOff>9525</xdr:rowOff>
                  </from>
                  <to>
                    <xdr:col>2</xdr:col>
                    <xdr:colOff>1771650</xdr:colOff>
                    <xdr:row>238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6821-B2BC-47E0-A69A-F7D50721CAEE}">
  <dimension ref="A1:B2457"/>
  <sheetViews>
    <sheetView topLeftCell="B1" zoomScale="145" zoomScaleNormal="145" workbookViewId="0">
      <selection activeCell="B1" sqref="B1"/>
    </sheetView>
  </sheetViews>
  <sheetFormatPr baseColWidth="10" defaultRowHeight="15" x14ac:dyDescent="0.25"/>
  <cols>
    <col min="1" max="1" width="4.140625" hidden="1" customWidth="1"/>
    <col min="2" max="2" width="122.7109375" bestFit="1" customWidth="1"/>
  </cols>
  <sheetData>
    <row r="1" spans="2:2" x14ac:dyDescent="0.25">
      <c r="B1" s="18" t="s">
        <v>19</v>
      </c>
    </row>
    <row r="2" spans="2:2" x14ac:dyDescent="0.25">
      <c r="B2" s="18" t="s">
        <v>191</v>
      </c>
    </row>
    <row r="3" spans="2:2" x14ac:dyDescent="0.25">
      <c r="B3" s="18" t="s">
        <v>51</v>
      </c>
    </row>
    <row r="4" spans="2:2" x14ac:dyDescent="0.25">
      <c r="B4" s="18" t="s">
        <v>251</v>
      </c>
    </row>
    <row r="5" spans="2:2" x14ac:dyDescent="0.25">
      <c r="B5" s="18" t="s">
        <v>252</v>
      </c>
    </row>
    <row r="6" spans="2:2" x14ac:dyDescent="0.25">
      <c r="B6" s="18" t="s">
        <v>20</v>
      </c>
    </row>
    <row r="7" spans="2:2" x14ac:dyDescent="0.25">
      <c r="B7" s="18" t="s">
        <v>229</v>
      </c>
    </row>
    <row r="8" spans="2:2" x14ac:dyDescent="0.25">
      <c r="B8" s="18" t="s">
        <v>230</v>
      </c>
    </row>
    <row r="9" spans="2:2" x14ac:dyDescent="0.25">
      <c r="B9" s="18" t="s">
        <v>231</v>
      </c>
    </row>
    <row r="10" spans="2:2" x14ac:dyDescent="0.25">
      <c r="B10" s="18" t="s">
        <v>232</v>
      </c>
    </row>
    <row r="11" spans="2:2" x14ac:dyDescent="0.25">
      <c r="B11" s="18" t="s">
        <v>233</v>
      </c>
    </row>
    <row r="12" spans="2:2" x14ac:dyDescent="0.25">
      <c r="B12" s="18" t="s">
        <v>234</v>
      </c>
    </row>
    <row r="13" spans="2:2" x14ac:dyDescent="0.25">
      <c r="B13" s="18" t="s">
        <v>235</v>
      </c>
    </row>
    <row r="14" spans="2:2" x14ac:dyDescent="0.25">
      <c r="B14" s="18" t="s">
        <v>236</v>
      </c>
    </row>
    <row r="15" spans="2:2" x14ac:dyDescent="0.25">
      <c r="B15" s="18" t="s">
        <v>237</v>
      </c>
    </row>
    <row r="16" spans="2:2" x14ac:dyDescent="0.25">
      <c r="B16" s="18" t="s">
        <v>21</v>
      </c>
    </row>
    <row r="17" spans="2:2" x14ac:dyDescent="0.25">
      <c r="B17" s="18" t="s">
        <v>192</v>
      </c>
    </row>
    <row r="18" spans="2:2" x14ac:dyDescent="0.25">
      <c r="B18" s="18" t="s">
        <v>193</v>
      </c>
    </row>
    <row r="19" spans="2:2" x14ac:dyDescent="0.25">
      <c r="B19" s="18"/>
    </row>
    <row r="20" spans="2:2" x14ac:dyDescent="0.25">
      <c r="B20" s="18" t="s">
        <v>40</v>
      </c>
    </row>
    <row r="21" spans="2:2" x14ac:dyDescent="0.25">
      <c r="B21" s="18" t="s">
        <v>41</v>
      </c>
    </row>
    <row r="22" spans="2:2" x14ac:dyDescent="0.25">
      <c r="B22" s="18" t="s">
        <v>25</v>
      </c>
    </row>
    <row r="23" spans="2:2" x14ac:dyDescent="0.25">
      <c r="B23" s="18"/>
    </row>
    <row r="24" spans="2:2" x14ac:dyDescent="0.25">
      <c r="B24" s="18" t="s">
        <v>22</v>
      </c>
    </row>
    <row r="25" spans="2:2" x14ac:dyDescent="0.25">
      <c r="B25" s="18" t="s">
        <v>23</v>
      </c>
    </row>
    <row r="26" spans="2:2" x14ac:dyDescent="0.25">
      <c r="B26" s="18" t="s">
        <v>52</v>
      </c>
    </row>
    <row r="27" spans="2:2" x14ac:dyDescent="0.25">
      <c r="B27" s="18" t="s">
        <v>244</v>
      </c>
    </row>
    <row r="28" spans="2:2" x14ac:dyDescent="0.25">
      <c r="B28" s="18" t="s">
        <v>24</v>
      </c>
    </row>
    <row r="29" spans="2:2" x14ac:dyDescent="0.25">
      <c r="B29" s="18" t="s">
        <v>53</v>
      </c>
    </row>
    <row r="30" spans="2:2" x14ac:dyDescent="0.25">
      <c r="B30" s="18" t="s">
        <v>245</v>
      </c>
    </row>
    <row r="31" spans="2:2" x14ac:dyDescent="0.25">
      <c r="B31" s="18" t="s">
        <v>25</v>
      </c>
    </row>
    <row r="32" spans="2:2" x14ac:dyDescent="0.25">
      <c r="B32" s="18"/>
    </row>
    <row r="33" spans="2:2" x14ac:dyDescent="0.25">
      <c r="B33" s="18" t="s">
        <v>26</v>
      </c>
    </row>
    <row r="34" spans="2:2" x14ac:dyDescent="0.25">
      <c r="B34" s="18" t="s">
        <v>27</v>
      </c>
    </row>
    <row r="35" spans="2:2" x14ac:dyDescent="0.25">
      <c r="B35" s="18" t="s">
        <v>28</v>
      </c>
    </row>
    <row r="36" spans="2:2" x14ac:dyDescent="0.25">
      <c r="B36" s="18" t="s">
        <v>213</v>
      </c>
    </row>
    <row r="37" spans="2:2" x14ac:dyDescent="0.25">
      <c r="B37" s="18" t="s">
        <v>210</v>
      </c>
    </row>
    <row r="38" spans="2:2" x14ac:dyDescent="0.25">
      <c r="B38" s="18" t="s">
        <v>213</v>
      </c>
    </row>
    <row r="39" spans="2:2" x14ac:dyDescent="0.25">
      <c r="B39" s="18" t="s">
        <v>138</v>
      </c>
    </row>
    <row r="40" spans="2:2" x14ac:dyDescent="0.25">
      <c r="B40" s="18" t="s">
        <v>156</v>
      </c>
    </row>
    <row r="41" spans="2:2" x14ac:dyDescent="0.25">
      <c r="B41" s="18" t="s">
        <v>169</v>
      </c>
    </row>
    <row r="42" spans="2:2" x14ac:dyDescent="0.25">
      <c r="B42" s="18" t="s">
        <v>171</v>
      </c>
    </row>
    <row r="43" spans="2:2" x14ac:dyDescent="0.25">
      <c r="B43" s="18" t="s">
        <v>152</v>
      </c>
    </row>
    <row r="44" spans="2:2" x14ac:dyDescent="0.25">
      <c r="B44" s="18" t="s">
        <v>1</v>
      </c>
    </row>
    <row r="45" spans="2:2" x14ac:dyDescent="0.25">
      <c r="B45" s="18" t="str">
        <f>"#define MPU_S_INIT_CTRL_ENABLE   "&amp;IF(CONFIG!A3,"1","0")</f>
        <v>#define MPU_S_INIT_CTRL_ENABLE   1</v>
      </c>
    </row>
    <row r="46" spans="2:2" x14ac:dyDescent="0.25">
      <c r="B46" s="18" t="s">
        <v>2</v>
      </c>
    </row>
    <row r="47" spans="2:2" x14ac:dyDescent="0.25">
      <c r="B47" s="18" t="s">
        <v>3</v>
      </c>
    </row>
    <row r="48" spans="2:2" x14ac:dyDescent="0.25">
      <c r="B48" s="18" t="str">
        <f>"#define MPU_S_INIT_CTRL_PRIVDEFENA  "&amp;IF(CONFIG!A4,"0x00000004","0x00000000")</f>
        <v>#define MPU_S_INIT_CTRL_PRIVDEFENA  0x00000004</v>
      </c>
    </row>
    <row r="49" spans="1:2" x14ac:dyDescent="0.25">
      <c r="B49" s="18" t="s">
        <v>4</v>
      </c>
    </row>
    <row r="50" spans="1:2" x14ac:dyDescent="0.25">
      <c r="B50" s="18" t="s">
        <v>5</v>
      </c>
    </row>
    <row r="51" spans="1:2" x14ac:dyDescent="0.25">
      <c r="B51" s="18" t="s">
        <v>6</v>
      </c>
    </row>
    <row r="52" spans="1:2" x14ac:dyDescent="0.25">
      <c r="B52" s="18" t="str">
        <f>"#define MPU_S_INIT_CTRL_HFNMIENA  "&amp;IF(CONFIG!A5,"0x00000002","0x00000000")</f>
        <v>#define MPU_S_INIT_CTRL_HFNMIENA  0x00000000</v>
      </c>
    </row>
    <row r="53" spans="1:2" x14ac:dyDescent="0.25">
      <c r="B53" s="18" t="s">
        <v>153</v>
      </c>
    </row>
    <row r="54" spans="1:2" x14ac:dyDescent="0.25">
      <c r="B54" s="18" t="s">
        <v>154</v>
      </c>
    </row>
    <row r="55" spans="1:2" x14ac:dyDescent="0.25">
      <c r="B55" s="18" t="s">
        <v>155</v>
      </c>
    </row>
    <row r="56" spans="1:2" x14ac:dyDescent="0.25">
      <c r="A56" s="2">
        <v>0</v>
      </c>
      <c r="B56" s="18" t="str">
        <f>"// MPU_S Region "&amp;A56&amp;" ********************************"</f>
        <v>// MPU_S Region 0 ********************************</v>
      </c>
    </row>
    <row r="57" spans="1:2" x14ac:dyDescent="0.25">
      <c r="A57" s="2">
        <v>7</v>
      </c>
      <c r="B57" s="18" t="str">
        <f>"// &lt;e&gt;Configure MPU_S Region "&amp;A56</f>
        <v>// &lt;e&gt;Configure MPU_S Region 0</v>
      </c>
    </row>
    <row r="58" spans="1:2" x14ac:dyDescent="0.25">
      <c r="B58" s="18" t="s">
        <v>29</v>
      </c>
    </row>
    <row r="59" spans="1:2" x14ac:dyDescent="0.25">
      <c r="A59">
        <f>A57</f>
        <v>7</v>
      </c>
      <c r="B59" s="18" t="str">
        <f ca="1">"#define MPU_S_CONFIG_REG"&amp;A56&amp;"   "&amp;N(INDIRECT("CONFIG!A"&amp;A59))</f>
        <v>#define MPU_S_CONFIG_REG0   1</v>
      </c>
    </row>
    <row r="60" spans="1:2" x14ac:dyDescent="0.25">
      <c r="B60" s="18" t="s">
        <v>228</v>
      </c>
    </row>
    <row r="61" spans="1:2" x14ac:dyDescent="0.25">
      <c r="A61">
        <f>A57+1</f>
        <v>8</v>
      </c>
      <c r="B61" s="18" t="str">
        <f ca="1">"#define MPU_S_ENABLE_REG"&amp;A56&amp;"   "&amp;N(INDIRECT("CONFIG!A"&amp;A61))</f>
        <v>#define MPU_S_ENABLE_REG0   1</v>
      </c>
    </row>
    <row r="62" spans="1:2" x14ac:dyDescent="0.25">
      <c r="B62" s="18" t="s">
        <v>8</v>
      </c>
    </row>
    <row r="63" spans="1:2" x14ac:dyDescent="0.25">
      <c r="B63" s="18" t="s">
        <v>54</v>
      </c>
    </row>
    <row r="64" spans="1:2" x14ac:dyDescent="0.25">
      <c r="A64">
        <f>A57+2</f>
        <v>9</v>
      </c>
      <c r="B64" s="18" t="str" cm="1">
        <f t="array" aca="1" ref="B64" ca="1">"#define MPU_S_BASE_REG"&amp;A56&amp;"     0x"&amp;INDIRECT("CONFIG!A"&amp;A64)</f>
        <v>#define MPU_S_BASE_REG0     0x20000000</v>
      </c>
    </row>
    <row r="65" spans="1:2" x14ac:dyDescent="0.25">
      <c r="B65" s="18" t="s">
        <v>55</v>
      </c>
    </row>
    <row r="66" spans="1:2" x14ac:dyDescent="0.25">
      <c r="B66" s="18" t="s">
        <v>56</v>
      </c>
    </row>
    <row r="67" spans="1:2" x14ac:dyDescent="0.25">
      <c r="A67">
        <f>A57+3</f>
        <v>10</v>
      </c>
      <c r="B67" s="18" t="str">
        <f ca="1">"#define MPU_S_END_REG"&amp;A56&amp;"      0x"&amp;DEC2HEX(HEX2DEC(INDIRECT("CONFIG!A"&amp;A67))+1,8)</f>
        <v>#define MPU_S_END_REG0      0x20000020</v>
      </c>
    </row>
    <row r="68" spans="1:2" x14ac:dyDescent="0.25">
      <c r="B68" s="18" t="str">
        <f>"#define MPU_S_LIMIT_REG"&amp;A56&amp;"    (MPU_S_END_REG"&amp;A56&amp;" - 1u)"</f>
        <v>#define MPU_S_LIMIT_REG0    (MPU_S_END_REG0 - 1u)</v>
      </c>
    </row>
    <row r="69" spans="1:2" x14ac:dyDescent="0.25">
      <c r="B69" s="18" t="s">
        <v>9</v>
      </c>
    </row>
    <row r="70" spans="1:2" x14ac:dyDescent="0.25">
      <c r="B70" s="18" t="s">
        <v>57</v>
      </c>
    </row>
    <row r="71" spans="1:2" x14ac:dyDescent="0.25">
      <c r="B71" s="18" t="s">
        <v>58</v>
      </c>
    </row>
    <row r="72" spans="1:2" x14ac:dyDescent="0.25">
      <c r="B72" s="18" t="s">
        <v>59</v>
      </c>
    </row>
    <row r="73" spans="1:2" x14ac:dyDescent="0.25">
      <c r="B73" s="18" t="s">
        <v>60</v>
      </c>
    </row>
    <row r="74" spans="1:2" x14ac:dyDescent="0.25">
      <c r="A74">
        <f>A57+4</f>
        <v>11</v>
      </c>
      <c r="B74" s="18" t="str" cm="1">
        <f t="array" aca="1" ref="B74" ca="1">"#define MPU_S_PERM_REG"&amp;A56&amp;"    "&amp;INDIRECT("CONFIG!A"&amp;A74)-1</f>
        <v>#define MPU_S_PERM_REG0    1</v>
      </c>
    </row>
    <row r="75" spans="1:2" x14ac:dyDescent="0.25">
      <c r="B75" s="18" t="s">
        <v>10</v>
      </c>
    </row>
    <row r="76" spans="1:2" x14ac:dyDescent="0.25">
      <c r="A76">
        <f>A57+5</f>
        <v>12</v>
      </c>
      <c r="B76" s="18" t="str">
        <f ca="1">"#define MPU_S_XN_REG"&amp;A56&amp;"      "&amp;N(INDIRECT("CONFIG!A"&amp;A76))</f>
        <v>#define MPU_S_XN_REG0      1</v>
      </c>
    </row>
    <row r="77" spans="1:2" x14ac:dyDescent="0.25">
      <c r="B77" s="18" t="s">
        <v>61</v>
      </c>
    </row>
    <row r="78" spans="1:2" x14ac:dyDescent="0.25">
      <c r="A78">
        <f>A59+6</f>
        <v>13</v>
      </c>
      <c r="B78" s="18" t="str">
        <f ca="1">"#define MPU_S_PXN_REG"&amp;A56&amp;"     "&amp;N(INDIRECT("CONFIG!A"&amp;A78))</f>
        <v>#define MPU_S_PXN_REG0     0</v>
      </c>
    </row>
    <row r="79" spans="1:2" x14ac:dyDescent="0.25">
      <c r="B79" s="18" t="s">
        <v>69</v>
      </c>
    </row>
    <row r="80" spans="1:2" x14ac:dyDescent="0.25">
      <c r="B80" s="18" t="s">
        <v>11</v>
      </c>
    </row>
    <row r="81" spans="1:2" x14ac:dyDescent="0.25">
      <c r="B81" s="18" t="s">
        <v>70</v>
      </c>
    </row>
    <row r="82" spans="1:2" x14ac:dyDescent="0.25">
      <c r="B82" s="18" t="s">
        <v>71</v>
      </c>
    </row>
    <row r="83" spans="1:2" x14ac:dyDescent="0.25">
      <c r="B83" s="18" t="s">
        <v>72</v>
      </c>
    </row>
    <row r="84" spans="1:2" x14ac:dyDescent="0.25">
      <c r="A84">
        <f>A57+7</f>
        <v>14</v>
      </c>
      <c r="B84" s="18" t="str" cm="1">
        <f t="array" aca="1" ref="B84" ca="1">"#define MPU_S_SHARE_REG"&amp;A56&amp;"   "&amp;(INDIRECT("CONFIG!A"&amp;A84)-1)</f>
        <v>#define MPU_S_SHARE_REG0   3</v>
      </c>
    </row>
    <row r="85" spans="1:2" x14ac:dyDescent="0.25">
      <c r="B85" s="18" t="s">
        <v>62</v>
      </c>
    </row>
    <row r="86" spans="1:2" x14ac:dyDescent="0.25">
      <c r="B86" s="18" t="s">
        <v>75</v>
      </c>
    </row>
    <row r="87" spans="1:2" x14ac:dyDescent="0.25">
      <c r="B87" s="18" t="s">
        <v>76</v>
      </c>
    </row>
    <row r="88" spans="1:2" x14ac:dyDescent="0.25">
      <c r="B88" s="18" t="s">
        <v>77</v>
      </c>
    </row>
    <row r="89" spans="1:2" x14ac:dyDescent="0.25">
      <c r="B89" s="18" t="s">
        <v>78</v>
      </c>
    </row>
    <row r="90" spans="1:2" x14ac:dyDescent="0.25">
      <c r="B90" s="18" t="s">
        <v>79</v>
      </c>
    </row>
    <row r="91" spans="1:2" x14ac:dyDescent="0.25">
      <c r="B91" s="18" t="s">
        <v>80</v>
      </c>
    </row>
    <row r="92" spans="1:2" x14ac:dyDescent="0.25">
      <c r="B92" s="18" t="s">
        <v>81</v>
      </c>
    </row>
    <row r="93" spans="1:2" x14ac:dyDescent="0.25">
      <c r="B93" s="18" t="s">
        <v>82</v>
      </c>
    </row>
    <row r="94" spans="1:2" x14ac:dyDescent="0.25">
      <c r="A94">
        <f>A57+8</f>
        <v>15</v>
      </c>
      <c r="B94" s="18" t="str" cm="1">
        <f t="array" aca="1" ref="B94" ca="1">"#define MPU_S_ATTRIND"&amp;A56&amp;"     "&amp;INDIRECT("CONFIG!A"&amp;A94)-1</f>
        <v>#define MPU_S_ATTRIND0     1</v>
      </c>
    </row>
    <row r="95" spans="1:2" x14ac:dyDescent="0.25">
      <c r="B95" s="18" t="str">
        <f>"//   &lt;/e&gt;   //MPU_S Region "&amp;A56&amp;" ********************************"</f>
        <v>//   &lt;/e&gt;   //MPU_S Region 0 ********************************</v>
      </c>
    </row>
    <row r="96" spans="1:2" x14ac:dyDescent="0.25">
      <c r="B96" s="18" t="s">
        <v>138</v>
      </c>
    </row>
    <row r="97" spans="1:2" x14ac:dyDescent="0.25">
      <c r="A97" s="2">
        <f>A56+1</f>
        <v>1</v>
      </c>
      <c r="B97" s="18" t="str">
        <f>"// MPU_S Region "&amp;A97&amp;" ********************************"</f>
        <v>// MPU_S Region 1 ********************************</v>
      </c>
    </row>
    <row r="98" spans="1:2" x14ac:dyDescent="0.25">
      <c r="A98" s="2">
        <f>A57+10</f>
        <v>17</v>
      </c>
      <c r="B98" s="18" t="str">
        <f>"// &lt;e&gt;Configure MPU_S Region "&amp;A97</f>
        <v>// &lt;e&gt;Configure MPU_S Region 1</v>
      </c>
    </row>
    <row r="99" spans="1:2" x14ac:dyDescent="0.25">
      <c r="B99" s="18" t="s">
        <v>29</v>
      </c>
    </row>
    <row r="100" spans="1:2" x14ac:dyDescent="0.25">
      <c r="A100">
        <f>A98</f>
        <v>17</v>
      </c>
      <c r="B100" s="18" t="str">
        <f ca="1">"#define MPU_S_CONFIG_REG"&amp;A97&amp;"   "&amp;N(INDIRECT("CONFIG!A"&amp;A100))</f>
        <v>#define MPU_S_CONFIG_REG1   0</v>
      </c>
    </row>
    <row r="101" spans="1:2" x14ac:dyDescent="0.25">
      <c r="B101" s="18" t="s">
        <v>228</v>
      </c>
    </row>
    <row r="102" spans="1:2" x14ac:dyDescent="0.25">
      <c r="A102">
        <f>A98+1</f>
        <v>18</v>
      </c>
      <c r="B102" s="18" t="str">
        <f ca="1">"#define MPU_S_ENABLE_REG"&amp;A97&amp;"   "&amp;N(INDIRECT("CONFIG!A"&amp;A102))</f>
        <v>#define MPU_S_ENABLE_REG1   1</v>
      </c>
    </row>
    <row r="103" spans="1:2" x14ac:dyDescent="0.25">
      <c r="B103" s="18" t="s">
        <v>8</v>
      </c>
    </row>
    <row r="104" spans="1:2" x14ac:dyDescent="0.25">
      <c r="B104" s="18" t="s">
        <v>54</v>
      </c>
    </row>
    <row r="105" spans="1:2" x14ac:dyDescent="0.25">
      <c r="A105">
        <f>A98+2</f>
        <v>19</v>
      </c>
      <c r="B105" s="18" t="str" cm="1">
        <f t="array" aca="1" ref="B105" ca="1">"#define MPU_S_BASE_REG"&amp;A97&amp;"     0x"&amp;INDIRECT("CONFIG!A"&amp;A105)</f>
        <v>#define MPU_S_BASE_REG1     0x00000000</v>
      </c>
    </row>
    <row r="106" spans="1:2" x14ac:dyDescent="0.25">
      <c r="B106" s="18" t="s">
        <v>55</v>
      </c>
    </row>
    <row r="107" spans="1:2" x14ac:dyDescent="0.25">
      <c r="B107" s="18" t="s">
        <v>56</v>
      </c>
    </row>
    <row r="108" spans="1:2" x14ac:dyDescent="0.25">
      <c r="A108">
        <f>A98+3</f>
        <v>20</v>
      </c>
      <c r="B108" s="18" t="str">
        <f ca="1">"#define MPU_S_END_REG"&amp;A97&amp;"      0x"&amp;DEC2HEX(HEX2DEC(INDIRECT("CONFIG!A"&amp;A108))+1,8)</f>
        <v>#define MPU_S_END_REG1      0x00000020</v>
      </c>
    </row>
    <row r="109" spans="1:2" x14ac:dyDescent="0.25">
      <c r="B109" s="18" t="str">
        <f>"#define MPU_S_LIMIT_REG"&amp;A97&amp;"    (MPU_S_END_REG"&amp;A97&amp;" - 1u)"</f>
        <v>#define MPU_S_LIMIT_REG1    (MPU_S_END_REG1 - 1u)</v>
      </c>
    </row>
    <row r="110" spans="1:2" x14ac:dyDescent="0.25">
      <c r="B110" s="18" t="s">
        <v>9</v>
      </c>
    </row>
    <row r="111" spans="1:2" x14ac:dyDescent="0.25">
      <c r="B111" s="18" t="s">
        <v>57</v>
      </c>
    </row>
    <row r="112" spans="1:2" x14ac:dyDescent="0.25">
      <c r="B112" s="18" t="s">
        <v>58</v>
      </c>
    </row>
    <row r="113" spans="1:2" x14ac:dyDescent="0.25">
      <c r="B113" s="18" t="s">
        <v>59</v>
      </c>
    </row>
    <row r="114" spans="1:2" x14ac:dyDescent="0.25">
      <c r="B114" s="18" t="s">
        <v>60</v>
      </c>
    </row>
    <row r="115" spans="1:2" x14ac:dyDescent="0.25">
      <c r="A115">
        <f>A98+4</f>
        <v>21</v>
      </c>
      <c r="B115" s="18" t="str" cm="1">
        <f t="array" aca="1" ref="B115" ca="1">"#define MPU_S_PERM_REG"&amp;A97&amp;"    "&amp;INDIRECT("CONFIG!A"&amp;A115)-1</f>
        <v>#define MPU_S_PERM_REG1    0</v>
      </c>
    </row>
    <row r="116" spans="1:2" x14ac:dyDescent="0.25">
      <c r="B116" s="18" t="s">
        <v>10</v>
      </c>
    </row>
    <row r="117" spans="1:2" x14ac:dyDescent="0.25">
      <c r="A117">
        <f>A98+5</f>
        <v>22</v>
      </c>
      <c r="B117" s="18" t="str">
        <f ca="1">"#define MPU_S_XN_REG"&amp;A97&amp;"      "&amp;N(INDIRECT("CONFIG!A"&amp;A117))</f>
        <v>#define MPU_S_XN_REG1      0</v>
      </c>
    </row>
    <row r="118" spans="1:2" x14ac:dyDescent="0.25">
      <c r="B118" s="18" t="s">
        <v>61</v>
      </c>
    </row>
    <row r="119" spans="1:2" x14ac:dyDescent="0.25">
      <c r="A119">
        <f>A100+6</f>
        <v>23</v>
      </c>
      <c r="B119" s="18" t="str">
        <f ca="1">"#define MPU_S_PXN_REG"&amp;A97&amp;"     "&amp;N(INDIRECT("CONFIG!A"&amp;A119))</f>
        <v>#define MPU_S_PXN_REG1     0</v>
      </c>
    </row>
    <row r="120" spans="1:2" x14ac:dyDescent="0.25">
      <c r="B120" s="18" t="s">
        <v>69</v>
      </c>
    </row>
    <row r="121" spans="1:2" x14ac:dyDescent="0.25">
      <c r="B121" s="18" t="s">
        <v>11</v>
      </c>
    </row>
    <row r="122" spans="1:2" x14ac:dyDescent="0.25">
      <c r="B122" s="18" t="s">
        <v>70</v>
      </c>
    </row>
    <row r="123" spans="1:2" x14ac:dyDescent="0.25">
      <c r="B123" s="18" t="s">
        <v>71</v>
      </c>
    </row>
    <row r="124" spans="1:2" x14ac:dyDescent="0.25">
      <c r="B124" s="18" t="s">
        <v>72</v>
      </c>
    </row>
    <row r="125" spans="1:2" x14ac:dyDescent="0.25">
      <c r="A125">
        <f>A98+7</f>
        <v>24</v>
      </c>
      <c r="B125" s="18" t="str" cm="1">
        <f t="array" aca="1" ref="B125" ca="1">"#define MPU_S_SHARE_REG"&amp;A97&amp;"   "&amp;(INDIRECT("CONFIG!A"&amp;A125)-1)</f>
        <v>#define MPU_S_SHARE_REG1   0</v>
      </c>
    </row>
    <row r="126" spans="1:2" x14ac:dyDescent="0.25">
      <c r="B126" s="18" t="s">
        <v>62</v>
      </c>
    </row>
    <row r="127" spans="1:2" x14ac:dyDescent="0.25">
      <c r="B127" s="18" t="s">
        <v>75</v>
      </c>
    </row>
    <row r="128" spans="1:2" x14ac:dyDescent="0.25">
      <c r="B128" s="18" t="s">
        <v>76</v>
      </c>
    </row>
    <row r="129" spans="1:2" x14ac:dyDescent="0.25">
      <c r="B129" s="18" t="s">
        <v>77</v>
      </c>
    </row>
    <row r="130" spans="1:2" x14ac:dyDescent="0.25">
      <c r="B130" s="18" t="s">
        <v>78</v>
      </c>
    </row>
    <row r="131" spans="1:2" x14ac:dyDescent="0.25">
      <c r="B131" s="18" t="s">
        <v>79</v>
      </c>
    </row>
    <row r="132" spans="1:2" x14ac:dyDescent="0.25">
      <c r="B132" s="18" t="s">
        <v>80</v>
      </c>
    </row>
    <row r="133" spans="1:2" x14ac:dyDescent="0.25">
      <c r="B133" s="18" t="s">
        <v>81</v>
      </c>
    </row>
    <row r="134" spans="1:2" x14ac:dyDescent="0.25">
      <c r="B134" s="18" t="s">
        <v>82</v>
      </c>
    </row>
    <row r="135" spans="1:2" x14ac:dyDescent="0.25">
      <c r="A135">
        <f>A98+8</f>
        <v>25</v>
      </c>
      <c r="B135" s="18" t="str" cm="1">
        <f t="array" aca="1" ref="B135" ca="1">"#define MPU_S_ATTRIND"&amp;A97&amp;"     "&amp;INDIRECT("CONFIG!A"&amp;A135)-1</f>
        <v>#define MPU_S_ATTRIND1     1</v>
      </c>
    </row>
    <row r="136" spans="1:2" x14ac:dyDescent="0.25">
      <c r="B136" s="18" t="str">
        <f>"//   &lt;/e&gt;   //MPU_S Region "&amp;A97&amp;" ********************************"</f>
        <v>//   &lt;/e&gt;   //MPU_S Region 1 ********************************</v>
      </c>
    </row>
    <row r="137" spans="1:2" x14ac:dyDescent="0.25">
      <c r="B137" s="18" t="s">
        <v>138</v>
      </c>
    </row>
    <row r="138" spans="1:2" x14ac:dyDescent="0.25">
      <c r="A138" s="2">
        <f>A97+1</f>
        <v>2</v>
      </c>
      <c r="B138" s="18" t="str">
        <f>"// MPU_S Region "&amp;A138&amp;" ********************************"</f>
        <v>// MPU_S Region 2 ********************************</v>
      </c>
    </row>
    <row r="139" spans="1:2" x14ac:dyDescent="0.25">
      <c r="A139" s="2">
        <f>A98+10</f>
        <v>27</v>
      </c>
      <c r="B139" s="18" t="str">
        <f>"// &lt;e&gt;Configure MPU_S Region "&amp;A138</f>
        <v>// &lt;e&gt;Configure MPU_S Region 2</v>
      </c>
    </row>
    <row r="140" spans="1:2" x14ac:dyDescent="0.25">
      <c r="B140" s="18" t="s">
        <v>29</v>
      </c>
    </row>
    <row r="141" spans="1:2" x14ac:dyDescent="0.25">
      <c r="A141">
        <f>A139</f>
        <v>27</v>
      </c>
      <c r="B141" s="18" t="str">
        <f ca="1">"#define MPU_S_CONFIG_REG"&amp;A138&amp;"   "&amp;N(INDIRECT("CONFIG!A"&amp;A141))</f>
        <v>#define MPU_S_CONFIG_REG2   0</v>
      </c>
    </row>
    <row r="142" spans="1:2" x14ac:dyDescent="0.25">
      <c r="B142" s="18" t="s">
        <v>228</v>
      </c>
    </row>
    <row r="143" spans="1:2" x14ac:dyDescent="0.25">
      <c r="A143">
        <f>A139+1</f>
        <v>28</v>
      </c>
      <c r="B143" s="18" t="str">
        <f ca="1">"#define MPU_S_ENABLE_REG"&amp;A138&amp;"   "&amp;N(INDIRECT("CONFIG!A"&amp;A143))</f>
        <v>#define MPU_S_ENABLE_REG2   1</v>
      </c>
    </row>
    <row r="144" spans="1:2" x14ac:dyDescent="0.25">
      <c r="B144" s="18" t="s">
        <v>8</v>
      </c>
    </row>
    <row r="145" spans="1:2" x14ac:dyDescent="0.25">
      <c r="B145" s="18" t="s">
        <v>54</v>
      </c>
    </row>
    <row r="146" spans="1:2" x14ac:dyDescent="0.25">
      <c r="A146">
        <f>A139+2</f>
        <v>29</v>
      </c>
      <c r="B146" s="18" t="str" cm="1">
        <f t="array" aca="1" ref="B146" ca="1">"#define MPU_S_BASE_REG"&amp;A138&amp;"     0x"&amp;INDIRECT("CONFIG!A"&amp;A146)</f>
        <v>#define MPU_S_BASE_REG2     0x00000000</v>
      </c>
    </row>
    <row r="147" spans="1:2" x14ac:dyDescent="0.25">
      <c r="B147" s="18" t="s">
        <v>55</v>
      </c>
    </row>
    <row r="148" spans="1:2" x14ac:dyDescent="0.25">
      <c r="B148" s="18" t="s">
        <v>56</v>
      </c>
    </row>
    <row r="149" spans="1:2" x14ac:dyDescent="0.25">
      <c r="A149">
        <f>A139+3</f>
        <v>30</v>
      </c>
      <c r="B149" s="18" t="str">
        <f ca="1">"#define MPU_S_END_REG"&amp;A138&amp;"      0x"&amp;DEC2HEX(HEX2DEC(INDIRECT("CONFIG!A"&amp;A149))+1,8)</f>
        <v>#define MPU_S_END_REG2      0x00000020</v>
      </c>
    </row>
    <row r="150" spans="1:2" x14ac:dyDescent="0.25">
      <c r="B150" s="18" t="str">
        <f>"#define MPU_S_LIMIT_REG"&amp;A138&amp;"    (MPU_S_END_REG"&amp;A138&amp;" - 1u)"</f>
        <v>#define MPU_S_LIMIT_REG2    (MPU_S_END_REG2 - 1u)</v>
      </c>
    </row>
    <row r="151" spans="1:2" x14ac:dyDescent="0.25">
      <c r="B151" s="18" t="s">
        <v>9</v>
      </c>
    </row>
    <row r="152" spans="1:2" x14ac:dyDescent="0.25">
      <c r="B152" s="18" t="s">
        <v>57</v>
      </c>
    </row>
    <row r="153" spans="1:2" x14ac:dyDescent="0.25">
      <c r="B153" s="18" t="s">
        <v>58</v>
      </c>
    </row>
    <row r="154" spans="1:2" x14ac:dyDescent="0.25">
      <c r="B154" s="18" t="s">
        <v>59</v>
      </c>
    </row>
    <row r="155" spans="1:2" x14ac:dyDescent="0.25">
      <c r="B155" s="18" t="s">
        <v>60</v>
      </c>
    </row>
    <row r="156" spans="1:2" x14ac:dyDescent="0.25">
      <c r="A156">
        <f>A139+4</f>
        <v>31</v>
      </c>
      <c r="B156" s="18" t="str" cm="1">
        <f t="array" aca="1" ref="B156" ca="1">"#define MPU_S_PERM_REG"&amp;A138&amp;"    "&amp;INDIRECT("CONFIG!A"&amp;A156)-1</f>
        <v>#define MPU_S_PERM_REG2    0</v>
      </c>
    </row>
    <row r="157" spans="1:2" x14ac:dyDescent="0.25">
      <c r="B157" s="18" t="s">
        <v>10</v>
      </c>
    </row>
    <row r="158" spans="1:2" x14ac:dyDescent="0.25">
      <c r="A158">
        <f>A139+5</f>
        <v>32</v>
      </c>
      <c r="B158" s="18" t="str">
        <f ca="1">"#define MPU_S_XN_REG"&amp;A138&amp;"      "&amp;N(INDIRECT("CONFIG!A"&amp;A158))</f>
        <v>#define MPU_S_XN_REG2      0</v>
      </c>
    </row>
    <row r="159" spans="1:2" x14ac:dyDescent="0.25">
      <c r="B159" s="18" t="s">
        <v>61</v>
      </c>
    </row>
    <row r="160" spans="1:2" x14ac:dyDescent="0.25">
      <c r="A160">
        <f>A141+6</f>
        <v>33</v>
      </c>
      <c r="B160" s="18" t="str">
        <f ca="1">"#define MPU_S_PXN_REG"&amp;A138&amp;"     "&amp;N(INDIRECT("CONFIG!A"&amp;A160))</f>
        <v>#define MPU_S_PXN_REG2     0</v>
      </c>
    </row>
    <row r="161" spans="1:2" x14ac:dyDescent="0.25">
      <c r="B161" s="18" t="s">
        <v>69</v>
      </c>
    </row>
    <row r="162" spans="1:2" x14ac:dyDescent="0.25">
      <c r="B162" s="18" t="s">
        <v>11</v>
      </c>
    </row>
    <row r="163" spans="1:2" x14ac:dyDescent="0.25">
      <c r="B163" s="18" t="s">
        <v>70</v>
      </c>
    </row>
    <row r="164" spans="1:2" x14ac:dyDescent="0.25">
      <c r="B164" s="18" t="s">
        <v>71</v>
      </c>
    </row>
    <row r="165" spans="1:2" x14ac:dyDescent="0.25">
      <c r="B165" s="18" t="s">
        <v>72</v>
      </c>
    </row>
    <row r="166" spans="1:2" x14ac:dyDescent="0.25">
      <c r="A166">
        <f>A139+7</f>
        <v>34</v>
      </c>
      <c r="B166" s="18" t="str" cm="1">
        <f t="array" aca="1" ref="B166" ca="1">"#define MPU_S_SHARE_REG"&amp;A138&amp;"   "&amp;(INDIRECT("CONFIG!A"&amp;A166)-1)</f>
        <v>#define MPU_S_SHARE_REG2   1</v>
      </c>
    </row>
    <row r="167" spans="1:2" x14ac:dyDescent="0.25">
      <c r="B167" s="18" t="s">
        <v>62</v>
      </c>
    </row>
    <row r="168" spans="1:2" x14ac:dyDescent="0.25">
      <c r="B168" s="18" t="s">
        <v>75</v>
      </c>
    </row>
    <row r="169" spans="1:2" x14ac:dyDescent="0.25">
      <c r="B169" s="18" t="s">
        <v>76</v>
      </c>
    </row>
    <row r="170" spans="1:2" x14ac:dyDescent="0.25">
      <c r="B170" s="18" t="s">
        <v>77</v>
      </c>
    </row>
    <row r="171" spans="1:2" x14ac:dyDescent="0.25">
      <c r="B171" s="18" t="s">
        <v>78</v>
      </c>
    </row>
    <row r="172" spans="1:2" x14ac:dyDescent="0.25">
      <c r="B172" s="18" t="s">
        <v>79</v>
      </c>
    </row>
    <row r="173" spans="1:2" x14ac:dyDescent="0.25">
      <c r="B173" s="18" t="s">
        <v>80</v>
      </c>
    </row>
    <row r="174" spans="1:2" x14ac:dyDescent="0.25">
      <c r="B174" s="18" t="s">
        <v>81</v>
      </c>
    </row>
    <row r="175" spans="1:2" x14ac:dyDescent="0.25">
      <c r="B175" s="18" t="s">
        <v>82</v>
      </c>
    </row>
    <row r="176" spans="1:2" x14ac:dyDescent="0.25">
      <c r="A176">
        <f>A139+8</f>
        <v>35</v>
      </c>
      <c r="B176" s="18" t="str" cm="1">
        <f t="array" aca="1" ref="B176" ca="1">"#define MPU_S_ATTRIND"&amp;A138&amp;"     "&amp;INDIRECT("CONFIG!A"&amp;A176)-1</f>
        <v>#define MPU_S_ATTRIND2     2</v>
      </c>
    </row>
    <row r="177" spans="1:2" x14ac:dyDescent="0.25">
      <c r="B177" s="18" t="str">
        <f>"//   &lt;/e&gt;   //MPU_S Region "&amp;A138&amp;" ********************************"</f>
        <v>//   &lt;/e&gt;   //MPU_S Region 2 ********************************</v>
      </c>
    </row>
    <row r="178" spans="1:2" x14ac:dyDescent="0.25">
      <c r="B178" s="18" t="s">
        <v>138</v>
      </c>
    </row>
    <row r="179" spans="1:2" x14ac:dyDescent="0.25">
      <c r="A179" s="2">
        <f>A138+1</f>
        <v>3</v>
      </c>
      <c r="B179" s="18" t="str">
        <f>"// MPU_S Region "&amp;A179&amp;" ********************************"</f>
        <v>// MPU_S Region 3 ********************************</v>
      </c>
    </row>
    <row r="180" spans="1:2" x14ac:dyDescent="0.25">
      <c r="A180" s="2">
        <f>A139+10</f>
        <v>37</v>
      </c>
      <c r="B180" s="18" t="str">
        <f>"// &lt;e&gt;Configure MPU_S Region "&amp;A179</f>
        <v>// &lt;e&gt;Configure MPU_S Region 3</v>
      </c>
    </row>
    <row r="181" spans="1:2" x14ac:dyDescent="0.25">
      <c r="B181" s="18" t="s">
        <v>29</v>
      </c>
    </row>
    <row r="182" spans="1:2" x14ac:dyDescent="0.25">
      <c r="A182">
        <f>A180</f>
        <v>37</v>
      </c>
      <c r="B182" s="18" t="str">
        <f ca="1">"#define MPU_S_CONFIG_REG"&amp;A179&amp;"   "&amp;N(INDIRECT("CONFIG!A"&amp;A182))</f>
        <v>#define MPU_S_CONFIG_REG3   0</v>
      </c>
    </row>
    <row r="183" spans="1:2" x14ac:dyDescent="0.25">
      <c r="B183" s="18" t="s">
        <v>228</v>
      </c>
    </row>
    <row r="184" spans="1:2" x14ac:dyDescent="0.25">
      <c r="A184">
        <f>A180+1</f>
        <v>38</v>
      </c>
      <c r="B184" s="18" t="str">
        <f ca="1">"#define MPU_S_ENABLE_REG"&amp;A179&amp;"   "&amp;N(INDIRECT("CONFIG!A"&amp;A184))</f>
        <v>#define MPU_S_ENABLE_REG3   1</v>
      </c>
    </row>
    <row r="185" spans="1:2" x14ac:dyDescent="0.25">
      <c r="B185" s="18" t="s">
        <v>8</v>
      </c>
    </row>
    <row r="186" spans="1:2" x14ac:dyDescent="0.25">
      <c r="B186" s="18" t="s">
        <v>54</v>
      </c>
    </row>
    <row r="187" spans="1:2" x14ac:dyDescent="0.25">
      <c r="A187">
        <f>A180+2</f>
        <v>39</v>
      </c>
      <c r="B187" s="18" t="str" cm="1">
        <f t="array" aca="1" ref="B187" ca="1">"#define MPU_S_BASE_REG"&amp;A179&amp;"     0x"&amp;INDIRECT("CONFIG!A"&amp;A187)</f>
        <v>#define MPU_S_BASE_REG3     0x00000000</v>
      </c>
    </row>
    <row r="188" spans="1:2" x14ac:dyDescent="0.25">
      <c r="B188" s="18" t="s">
        <v>55</v>
      </c>
    </row>
    <row r="189" spans="1:2" x14ac:dyDescent="0.25">
      <c r="B189" s="18" t="s">
        <v>56</v>
      </c>
    </row>
    <row r="190" spans="1:2" x14ac:dyDescent="0.25">
      <c r="A190">
        <f>A180+3</f>
        <v>40</v>
      </c>
      <c r="B190" s="18" t="str">
        <f ca="1">"#define MPU_S_END_REG"&amp;A179&amp;"      0x"&amp;DEC2HEX(HEX2DEC(INDIRECT("CONFIG!A"&amp;A190))+1,8)</f>
        <v>#define MPU_S_END_REG3      0x00000020</v>
      </c>
    </row>
    <row r="191" spans="1:2" x14ac:dyDescent="0.25">
      <c r="B191" s="18" t="str">
        <f>"#define MPU_S_LIMIT_REG"&amp;A179&amp;"    (MPU_S_END_REG"&amp;A179&amp;" - 1u)"</f>
        <v>#define MPU_S_LIMIT_REG3    (MPU_S_END_REG3 - 1u)</v>
      </c>
    </row>
    <row r="192" spans="1:2" x14ac:dyDescent="0.25">
      <c r="B192" s="18" t="s">
        <v>9</v>
      </c>
    </row>
    <row r="193" spans="1:2" x14ac:dyDescent="0.25">
      <c r="B193" s="18" t="s">
        <v>57</v>
      </c>
    </row>
    <row r="194" spans="1:2" x14ac:dyDescent="0.25">
      <c r="B194" s="18" t="s">
        <v>58</v>
      </c>
    </row>
    <row r="195" spans="1:2" x14ac:dyDescent="0.25">
      <c r="B195" s="18" t="s">
        <v>59</v>
      </c>
    </row>
    <row r="196" spans="1:2" x14ac:dyDescent="0.25">
      <c r="B196" s="18" t="s">
        <v>60</v>
      </c>
    </row>
    <row r="197" spans="1:2" x14ac:dyDescent="0.25">
      <c r="A197">
        <f>A180+4</f>
        <v>41</v>
      </c>
      <c r="B197" s="18" t="str" cm="1">
        <f t="array" aca="1" ref="B197" ca="1">"#define MPU_S_PERM_REG"&amp;A179&amp;"    "&amp;INDIRECT("CONFIG!A"&amp;A197)-1</f>
        <v>#define MPU_S_PERM_REG3    0</v>
      </c>
    </row>
    <row r="198" spans="1:2" x14ac:dyDescent="0.25">
      <c r="B198" s="18" t="s">
        <v>10</v>
      </c>
    </row>
    <row r="199" spans="1:2" x14ac:dyDescent="0.25">
      <c r="A199">
        <f>A180+5</f>
        <v>42</v>
      </c>
      <c r="B199" s="18" t="str">
        <f ca="1">"#define MPU_S_XN_REG"&amp;A179&amp;"      "&amp;N(INDIRECT("CONFIG!A"&amp;A199))</f>
        <v>#define MPU_S_XN_REG3      0</v>
      </c>
    </row>
    <row r="200" spans="1:2" x14ac:dyDescent="0.25">
      <c r="B200" s="18" t="s">
        <v>61</v>
      </c>
    </row>
    <row r="201" spans="1:2" x14ac:dyDescent="0.25">
      <c r="A201">
        <f>A182+6</f>
        <v>43</v>
      </c>
      <c r="B201" s="18" t="str">
        <f ca="1">"#define MPU_S_PXN_REG"&amp;A179&amp;"     "&amp;N(INDIRECT("CONFIG!A"&amp;A201))</f>
        <v>#define MPU_S_PXN_REG3     0</v>
      </c>
    </row>
    <row r="202" spans="1:2" x14ac:dyDescent="0.25">
      <c r="B202" s="18" t="s">
        <v>69</v>
      </c>
    </row>
    <row r="203" spans="1:2" x14ac:dyDescent="0.25">
      <c r="B203" s="18" t="s">
        <v>11</v>
      </c>
    </row>
    <row r="204" spans="1:2" x14ac:dyDescent="0.25">
      <c r="B204" s="18" t="s">
        <v>70</v>
      </c>
    </row>
    <row r="205" spans="1:2" x14ac:dyDescent="0.25">
      <c r="B205" s="18" t="s">
        <v>71</v>
      </c>
    </row>
    <row r="206" spans="1:2" x14ac:dyDescent="0.25">
      <c r="B206" s="18" t="s">
        <v>72</v>
      </c>
    </row>
    <row r="207" spans="1:2" x14ac:dyDescent="0.25">
      <c r="A207">
        <f>A180+7</f>
        <v>44</v>
      </c>
      <c r="B207" s="18" t="str" cm="1">
        <f t="array" aca="1" ref="B207" ca="1">"#define MPU_S_SHARE_REG"&amp;A179&amp;"   "&amp;(INDIRECT("CONFIG!A"&amp;A207)-1)</f>
        <v>#define MPU_S_SHARE_REG3   0</v>
      </c>
    </row>
    <row r="208" spans="1:2" x14ac:dyDescent="0.25">
      <c r="B208" s="18" t="s">
        <v>62</v>
      </c>
    </row>
    <row r="209" spans="1:2" x14ac:dyDescent="0.25">
      <c r="B209" s="18" t="s">
        <v>75</v>
      </c>
    </row>
    <row r="210" spans="1:2" x14ac:dyDescent="0.25">
      <c r="B210" s="18" t="s">
        <v>76</v>
      </c>
    </row>
    <row r="211" spans="1:2" x14ac:dyDescent="0.25">
      <c r="B211" s="18" t="s">
        <v>77</v>
      </c>
    </row>
    <row r="212" spans="1:2" x14ac:dyDescent="0.25">
      <c r="B212" s="18" t="s">
        <v>78</v>
      </c>
    </row>
    <row r="213" spans="1:2" x14ac:dyDescent="0.25">
      <c r="B213" s="18" t="s">
        <v>79</v>
      </c>
    </row>
    <row r="214" spans="1:2" x14ac:dyDescent="0.25">
      <c r="B214" s="18" t="s">
        <v>80</v>
      </c>
    </row>
    <row r="215" spans="1:2" x14ac:dyDescent="0.25">
      <c r="B215" s="18" t="s">
        <v>81</v>
      </c>
    </row>
    <row r="216" spans="1:2" x14ac:dyDescent="0.25">
      <c r="B216" s="18" t="s">
        <v>82</v>
      </c>
    </row>
    <row r="217" spans="1:2" x14ac:dyDescent="0.25">
      <c r="A217">
        <f>A180+8</f>
        <v>45</v>
      </c>
      <c r="B217" s="18" t="str" cm="1">
        <f t="array" aca="1" ref="B217" ca="1">"#define MPU_S_ATTRIND"&amp;A179&amp;"     "&amp;INDIRECT("CONFIG!A"&amp;A217)-1</f>
        <v>#define MPU_S_ATTRIND3     3</v>
      </c>
    </row>
    <row r="218" spans="1:2" x14ac:dyDescent="0.25">
      <c r="B218" s="18" t="str">
        <f>"//   &lt;/e&gt;   //MPU_S Region "&amp;A179&amp;" ********************************"</f>
        <v>//   &lt;/e&gt;   //MPU_S Region 3 ********************************</v>
      </c>
    </row>
    <row r="219" spans="1:2" x14ac:dyDescent="0.25">
      <c r="B219" s="18" t="s">
        <v>138</v>
      </c>
    </row>
    <row r="220" spans="1:2" x14ac:dyDescent="0.25">
      <c r="A220" s="2">
        <f>A179+1</f>
        <v>4</v>
      </c>
      <c r="B220" s="18" t="str">
        <f>"// MPU_S Region "&amp;A220&amp;" ********************************"</f>
        <v>// MPU_S Region 4 ********************************</v>
      </c>
    </row>
    <row r="221" spans="1:2" x14ac:dyDescent="0.25">
      <c r="A221" s="2">
        <f>A180+10</f>
        <v>47</v>
      </c>
      <c r="B221" s="18" t="str">
        <f>"// &lt;e&gt;Configure MPU_S Region "&amp;A220</f>
        <v>// &lt;e&gt;Configure MPU_S Region 4</v>
      </c>
    </row>
    <row r="222" spans="1:2" x14ac:dyDescent="0.25">
      <c r="B222" s="18" t="s">
        <v>29</v>
      </c>
    </row>
    <row r="223" spans="1:2" x14ac:dyDescent="0.25">
      <c r="A223">
        <f>A221</f>
        <v>47</v>
      </c>
      <c r="B223" s="18" t="str">
        <f ca="1">"#define MPU_S_CONFIG_REG"&amp;A220&amp;"   "&amp;N(INDIRECT("CONFIG!A"&amp;A223))</f>
        <v>#define MPU_S_CONFIG_REG4   0</v>
      </c>
    </row>
    <row r="224" spans="1:2" x14ac:dyDescent="0.25">
      <c r="B224" s="18" t="s">
        <v>228</v>
      </c>
    </row>
    <row r="225" spans="1:2" x14ac:dyDescent="0.25">
      <c r="A225">
        <f>A221+1</f>
        <v>48</v>
      </c>
      <c r="B225" s="18" t="str">
        <f ca="1">"#define MPU_S_ENABLE_REG"&amp;A220&amp;"   "&amp;N(INDIRECT("CONFIG!A"&amp;A225))</f>
        <v>#define MPU_S_ENABLE_REG4   1</v>
      </c>
    </row>
    <row r="226" spans="1:2" x14ac:dyDescent="0.25">
      <c r="B226" s="18" t="s">
        <v>8</v>
      </c>
    </row>
    <row r="227" spans="1:2" x14ac:dyDescent="0.25">
      <c r="B227" s="18" t="s">
        <v>54</v>
      </c>
    </row>
    <row r="228" spans="1:2" x14ac:dyDescent="0.25">
      <c r="A228">
        <f>A221+2</f>
        <v>49</v>
      </c>
      <c r="B228" s="18" t="str" cm="1">
        <f t="array" aca="1" ref="B228" ca="1">"#define MPU_S_BASE_REG"&amp;A220&amp;"     0x"&amp;INDIRECT("CONFIG!A"&amp;A228)</f>
        <v>#define MPU_S_BASE_REG4     0x00000000</v>
      </c>
    </row>
    <row r="229" spans="1:2" x14ac:dyDescent="0.25">
      <c r="B229" s="18" t="s">
        <v>55</v>
      </c>
    </row>
    <row r="230" spans="1:2" x14ac:dyDescent="0.25">
      <c r="B230" s="18" t="s">
        <v>56</v>
      </c>
    </row>
    <row r="231" spans="1:2" x14ac:dyDescent="0.25">
      <c r="A231">
        <f>A221+3</f>
        <v>50</v>
      </c>
      <c r="B231" s="18" t="str">
        <f ca="1">"#define MPU_S_END_REG"&amp;A220&amp;"      0x"&amp;DEC2HEX(HEX2DEC(INDIRECT("CONFIG!A"&amp;A231))+1,8)</f>
        <v>#define MPU_S_END_REG4      0x00000020</v>
      </c>
    </row>
    <row r="232" spans="1:2" x14ac:dyDescent="0.25">
      <c r="B232" s="18" t="str">
        <f>"#define MPU_S_LIMIT_REG"&amp;A220&amp;"    (MPU_S_END_REG"&amp;A220&amp;" - 1u)"</f>
        <v>#define MPU_S_LIMIT_REG4    (MPU_S_END_REG4 - 1u)</v>
      </c>
    </row>
    <row r="233" spans="1:2" x14ac:dyDescent="0.25">
      <c r="B233" s="18" t="s">
        <v>9</v>
      </c>
    </row>
    <row r="234" spans="1:2" x14ac:dyDescent="0.25">
      <c r="B234" s="18" t="s">
        <v>57</v>
      </c>
    </row>
    <row r="235" spans="1:2" x14ac:dyDescent="0.25">
      <c r="B235" s="18" t="s">
        <v>58</v>
      </c>
    </row>
    <row r="236" spans="1:2" x14ac:dyDescent="0.25">
      <c r="B236" s="18" t="s">
        <v>59</v>
      </c>
    </row>
    <row r="237" spans="1:2" x14ac:dyDescent="0.25">
      <c r="B237" s="18" t="s">
        <v>60</v>
      </c>
    </row>
    <row r="238" spans="1:2" x14ac:dyDescent="0.25">
      <c r="A238">
        <f>A221+4</f>
        <v>51</v>
      </c>
      <c r="B238" s="18" t="str" cm="1">
        <f t="array" aca="1" ref="B238" ca="1">"#define MPU_S_PERM_REG"&amp;A220&amp;"    "&amp;INDIRECT("CONFIG!A"&amp;A238)-1</f>
        <v>#define MPU_S_PERM_REG4    0</v>
      </c>
    </row>
    <row r="239" spans="1:2" x14ac:dyDescent="0.25">
      <c r="B239" s="18" t="s">
        <v>10</v>
      </c>
    </row>
    <row r="240" spans="1:2" x14ac:dyDescent="0.25">
      <c r="A240">
        <f>A221+5</f>
        <v>52</v>
      </c>
      <c r="B240" s="18" t="str">
        <f ca="1">"#define MPU_S_XN_REG"&amp;A220&amp;"      "&amp;N(INDIRECT("CONFIG!A"&amp;A240))</f>
        <v>#define MPU_S_XN_REG4      0</v>
      </c>
    </row>
    <row r="241" spans="1:2" x14ac:dyDescent="0.25">
      <c r="B241" s="18" t="s">
        <v>61</v>
      </c>
    </row>
    <row r="242" spans="1:2" x14ac:dyDescent="0.25">
      <c r="A242">
        <f>A223+6</f>
        <v>53</v>
      </c>
      <c r="B242" s="18" t="str">
        <f ca="1">"#define MPU_S_PXN_REG"&amp;A220&amp;"     "&amp;N(INDIRECT("CONFIG!A"&amp;A242))</f>
        <v>#define MPU_S_PXN_REG4     0</v>
      </c>
    </row>
    <row r="243" spans="1:2" x14ac:dyDescent="0.25">
      <c r="B243" s="18" t="s">
        <v>69</v>
      </c>
    </row>
    <row r="244" spans="1:2" x14ac:dyDescent="0.25">
      <c r="B244" s="18" t="s">
        <v>11</v>
      </c>
    </row>
    <row r="245" spans="1:2" x14ac:dyDescent="0.25">
      <c r="B245" s="18" t="s">
        <v>70</v>
      </c>
    </row>
    <row r="246" spans="1:2" x14ac:dyDescent="0.25">
      <c r="B246" s="18" t="s">
        <v>71</v>
      </c>
    </row>
    <row r="247" spans="1:2" x14ac:dyDescent="0.25">
      <c r="B247" s="18" t="s">
        <v>72</v>
      </c>
    </row>
    <row r="248" spans="1:2" x14ac:dyDescent="0.25">
      <c r="A248">
        <f>A221+7</f>
        <v>54</v>
      </c>
      <c r="B248" s="18" t="str" cm="1">
        <f t="array" aca="1" ref="B248" ca="1">"#define MPU_S_SHARE_REG"&amp;A220&amp;"   "&amp;(INDIRECT("CONFIG!A"&amp;A248)-1)</f>
        <v>#define MPU_S_SHARE_REG4   0</v>
      </c>
    </row>
    <row r="249" spans="1:2" x14ac:dyDescent="0.25">
      <c r="B249" s="18" t="s">
        <v>62</v>
      </c>
    </row>
    <row r="250" spans="1:2" x14ac:dyDescent="0.25">
      <c r="B250" s="18" t="s">
        <v>75</v>
      </c>
    </row>
    <row r="251" spans="1:2" x14ac:dyDescent="0.25">
      <c r="B251" s="18" t="s">
        <v>76</v>
      </c>
    </row>
    <row r="252" spans="1:2" x14ac:dyDescent="0.25">
      <c r="B252" s="18" t="s">
        <v>77</v>
      </c>
    </row>
    <row r="253" spans="1:2" x14ac:dyDescent="0.25">
      <c r="B253" s="18" t="s">
        <v>78</v>
      </c>
    </row>
    <row r="254" spans="1:2" x14ac:dyDescent="0.25">
      <c r="B254" s="18" t="s">
        <v>79</v>
      </c>
    </row>
    <row r="255" spans="1:2" x14ac:dyDescent="0.25">
      <c r="B255" s="18" t="s">
        <v>80</v>
      </c>
    </row>
    <row r="256" spans="1:2" x14ac:dyDescent="0.25">
      <c r="B256" s="18" t="s">
        <v>81</v>
      </c>
    </row>
    <row r="257" spans="1:2" x14ac:dyDescent="0.25">
      <c r="B257" s="18" t="s">
        <v>82</v>
      </c>
    </row>
    <row r="258" spans="1:2" x14ac:dyDescent="0.25">
      <c r="A258">
        <f>A221+8</f>
        <v>55</v>
      </c>
      <c r="B258" s="18" t="str" cm="1">
        <f t="array" aca="1" ref="B258" ca="1">"#define MPU_S_ATTRIND"&amp;A220&amp;"     "&amp;INDIRECT("CONFIG!A"&amp;A258)-1</f>
        <v>#define MPU_S_ATTRIND4     0</v>
      </c>
    </row>
    <row r="259" spans="1:2" x14ac:dyDescent="0.25">
      <c r="B259" s="18" t="str">
        <f>"//   &lt;/e&gt;   //MPU_S Region "&amp;A220&amp;" ********************************"</f>
        <v>//   &lt;/e&gt;   //MPU_S Region 4 ********************************</v>
      </c>
    </row>
    <row r="260" spans="1:2" x14ac:dyDescent="0.25">
      <c r="B260" s="18" t="s">
        <v>138</v>
      </c>
    </row>
    <row r="261" spans="1:2" x14ac:dyDescent="0.25">
      <c r="A261" s="2">
        <f>A220+1</f>
        <v>5</v>
      </c>
      <c r="B261" s="18" t="str">
        <f>"// MPU_S Region "&amp;A261&amp;" ********************************"</f>
        <v>// MPU_S Region 5 ********************************</v>
      </c>
    </row>
    <row r="262" spans="1:2" x14ac:dyDescent="0.25">
      <c r="A262" s="2">
        <f>A221+10</f>
        <v>57</v>
      </c>
      <c r="B262" s="18" t="str">
        <f>"// &lt;e&gt;Configure MPU_S Region "&amp;A261</f>
        <v>// &lt;e&gt;Configure MPU_S Region 5</v>
      </c>
    </row>
    <row r="263" spans="1:2" x14ac:dyDescent="0.25">
      <c r="B263" s="18" t="s">
        <v>29</v>
      </c>
    </row>
    <row r="264" spans="1:2" x14ac:dyDescent="0.25">
      <c r="A264">
        <f>A262</f>
        <v>57</v>
      </c>
      <c r="B264" s="18" t="str">
        <f ca="1">"#define MPU_S_CONFIG_REG"&amp;A261&amp;"   "&amp;N(INDIRECT("CONFIG!A"&amp;A264))</f>
        <v>#define MPU_S_CONFIG_REG5   0</v>
      </c>
    </row>
    <row r="265" spans="1:2" x14ac:dyDescent="0.25">
      <c r="B265" s="18" t="s">
        <v>228</v>
      </c>
    </row>
    <row r="266" spans="1:2" x14ac:dyDescent="0.25">
      <c r="A266">
        <f>A262+1</f>
        <v>58</v>
      </c>
      <c r="B266" s="18" t="str">
        <f ca="1">"#define MPU_S_ENABLE_REG"&amp;A261&amp;"   "&amp;N(INDIRECT("CONFIG!A"&amp;A266))</f>
        <v>#define MPU_S_ENABLE_REG5   1</v>
      </c>
    </row>
    <row r="267" spans="1:2" x14ac:dyDescent="0.25">
      <c r="B267" s="18" t="s">
        <v>8</v>
      </c>
    </row>
    <row r="268" spans="1:2" x14ac:dyDescent="0.25">
      <c r="B268" s="18" t="s">
        <v>54</v>
      </c>
    </row>
    <row r="269" spans="1:2" x14ac:dyDescent="0.25">
      <c r="A269">
        <f>A262+2</f>
        <v>59</v>
      </c>
      <c r="B269" s="18" t="str" cm="1">
        <f t="array" aca="1" ref="B269" ca="1">"#define MPU_S_BASE_REG"&amp;A261&amp;"     0x"&amp;INDIRECT("CONFIG!A"&amp;A269)</f>
        <v>#define MPU_S_BASE_REG5     0x00000000</v>
      </c>
    </row>
    <row r="270" spans="1:2" x14ac:dyDescent="0.25">
      <c r="B270" s="18" t="s">
        <v>55</v>
      </c>
    </row>
    <row r="271" spans="1:2" x14ac:dyDescent="0.25">
      <c r="B271" s="18" t="s">
        <v>56</v>
      </c>
    </row>
    <row r="272" spans="1:2" x14ac:dyDescent="0.25">
      <c r="A272">
        <f>A262+3</f>
        <v>60</v>
      </c>
      <c r="B272" s="18" t="str">
        <f ca="1">"#define MPU_S_END_REG"&amp;A261&amp;"      0x"&amp;DEC2HEX(HEX2DEC(INDIRECT("CONFIG!A"&amp;A272))+1,8)</f>
        <v>#define MPU_S_END_REG5      0x00000020</v>
      </c>
    </row>
    <row r="273" spans="1:2" x14ac:dyDescent="0.25">
      <c r="B273" s="18" t="str">
        <f>"#define MPU_S_LIMIT_REG"&amp;A261&amp;"    (MPU_S_END_REG"&amp;A261&amp;" - 1u)"</f>
        <v>#define MPU_S_LIMIT_REG5    (MPU_S_END_REG5 - 1u)</v>
      </c>
    </row>
    <row r="274" spans="1:2" x14ac:dyDescent="0.25">
      <c r="B274" s="18" t="s">
        <v>9</v>
      </c>
    </row>
    <row r="275" spans="1:2" x14ac:dyDescent="0.25">
      <c r="B275" s="18" t="s">
        <v>57</v>
      </c>
    </row>
    <row r="276" spans="1:2" x14ac:dyDescent="0.25">
      <c r="B276" s="18" t="s">
        <v>58</v>
      </c>
    </row>
    <row r="277" spans="1:2" x14ac:dyDescent="0.25">
      <c r="B277" s="18" t="s">
        <v>59</v>
      </c>
    </row>
    <row r="278" spans="1:2" x14ac:dyDescent="0.25">
      <c r="B278" s="18" t="s">
        <v>60</v>
      </c>
    </row>
    <row r="279" spans="1:2" x14ac:dyDescent="0.25">
      <c r="A279">
        <f>A262+4</f>
        <v>61</v>
      </c>
      <c r="B279" s="18" t="str" cm="1">
        <f t="array" aca="1" ref="B279" ca="1">"#define MPU_S_PERM_REG"&amp;A261&amp;"    "&amp;INDIRECT("CONFIG!A"&amp;A279)-1</f>
        <v>#define MPU_S_PERM_REG5    0</v>
      </c>
    </row>
    <row r="280" spans="1:2" x14ac:dyDescent="0.25">
      <c r="B280" s="18" t="s">
        <v>10</v>
      </c>
    </row>
    <row r="281" spans="1:2" x14ac:dyDescent="0.25">
      <c r="A281">
        <f>A262+5</f>
        <v>62</v>
      </c>
      <c r="B281" s="18" t="str">
        <f ca="1">"#define MPU_S_XN_REG"&amp;A261&amp;"      "&amp;N(INDIRECT("CONFIG!A"&amp;A281))</f>
        <v>#define MPU_S_XN_REG5      0</v>
      </c>
    </row>
    <row r="282" spans="1:2" x14ac:dyDescent="0.25">
      <c r="B282" s="18" t="s">
        <v>61</v>
      </c>
    </row>
    <row r="283" spans="1:2" x14ac:dyDescent="0.25">
      <c r="A283">
        <f>A264+6</f>
        <v>63</v>
      </c>
      <c r="B283" s="18" t="str">
        <f ca="1">"#define MPU_S_PXN_REG"&amp;A261&amp;"     "&amp;N(INDIRECT("CONFIG!A"&amp;A283))</f>
        <v>#define MPU_S_PXN_REG5     0</v>
      </c>
    </row>
    <row r="284" spans="1:2" x14ac:dyDescent="0.25">
      <c r="B284" s="18" t="s">
        <v>69</v>
      </c>
    </row>
    <row r="285" spans="1:2" x14ac:dyDescent="0.25">
      <c r="B285" s="18" t="s">
        <v>11</v>
      </c>
    </row>
    <row r="286" spans="1:2" x14ac:dyDescent="0.25">
      <c r="B286" s="18" t="s">
        <v>70</v>
      </c>
    </row>
    <row r="287" spans="1:2" x14ac:dyDescent="0.25">
      <c r="B287" s="18" t="s">
        <v>71</v>
      </c>
    </row>
    <row r="288" spans="1:2" x14ac:dyDescent="0.25">
      <c r="B288" s="18" t="s">
        <v>72</v>
      </c>
    </row>
    <row r="289" spans="1:2" x14ac:dyDescent="0.25">
      <c r="A289">
        <f>A262+7</f>
        <v>64</v>
      </c>
      <c r="B289" s="18" t="str" cm="1">
        <f t="array" aca="1" ref="B289" ca="1">"#define MPU_S_SHARE_REG"&amp;A261&amp;"   "&amp;(INDIRECT("CONFIG!A"&amp;A289)-1)</f>
        <v>#define MPU_S_SHARE_REG5   1</v>
      </c>
    </row>
    <row r="290" spans="1:2" x14ac:dyDescent="0.25">
      <c r="B290" s="18" t="s">
        <v>62</v>
      </c>
    </row>
    <row r="291" spans="1:2" x14ac:dyDescent="0.25">
      <c r="B291" s="18" t="s">
        <v>75</v>
      </c>
    </row>
    <row r="292" spans="1:2" x14ac:dyDescent="0.25">
      <c r="B292" s="18" t="s">
        <v>76</v>
      </c>
    </row>
    <row r="293" spans="1:2" x14ac:dyDescent="0.25">
      <c r="B293" s="18" t="s">
        <v>77</v>
      </c>
    </row>
    <row r="294" spans="1:2" x14ac:dyDescent="0.25">
      <c r="B294" s="18" t="s">
        <v>78</v>
      </c>
    </row>
    <row r="295" spans="1:2" x14ac:dyDescent="0.25">
      <c r="B295" s="18" t="s">
        <v>79</v>
      </c>
    </row>
    <row r="296" spans="1:2" x14ac:dyDescent="0.25">
      <c r="B296" s="18" t="s">
        <v>80</v>
      </c>
    </row>
    <row r="297" spans="1:2" x14ac:dyDescent="0.25">
      <c r="B297" s="18" t="s">
        <v>81</v>
      </c>
    </row>
    <row r="298" spans="1:2" x14ac:dyDescent="0.25">
      <c r="B298" s="18" t="s">
        <v>82</v>
      </c>
    </row>
    <row r="299" spans="1:2" x14ac:dyDescent="0.25">
      <c r="A299">
        <f>A262+8</f>
        <v>65</v>
      </c>
      <c r="B299" s="18" t="str" cm="1">
        <f t="array" aca="1" ref="B299" ca="1">"#define MPU_S_ATTRIND"&amp;A261&amp;"     "&amp;INDIRECT("CONFIG!A"&amp;A299)-1</f>
        <v>#define MPU_S_ATTRIND5     7</v>
      </c>
    </row>
    <row r="300" spans="1:2" x14ac:dyDescent="0.25">
      <c r="B300" s="18" t="str">
        <f>"//   &lt;/e&gt;   //MPU_S Region "&amp;A261&amp;" ********************************"</f>
        <v>//   &lt;/e&gt;   //MPU_S Region 5 ********************************</v>
      </c>
    </row>
    <row r="301" spans="1:2" x14ac:dyDescent="0.25">
      <c r="B301" s="18" t="s">
        <v>138</v>
      </c>
    </row>
    <row r="302" spans="1:2" x14ac:dyDescent="0.25">
      <c r="A302" s="2">
        <f>A261+1</f>
        <v>6</v>
      </c>
      <c r="B302" s="18" t="str">
        <f>"// MPU_S Region "&amp;A302&amp;" ********************************"</f>
        <v>// MPU_S Region 6 ********************************</v>
      </c>
    </row>
    <row r="303" spans="1:2" x14ac:dyDescent="0.25">
      <c r="A303" s="2">
        <f>A262+10</f>
        <v>67</v>
      </c>
      <c r="B303" s="18" t="str">
        <f>"// &lt;e&gt;Configure MPU_S Region "&amp;A302</f>
        <v>// &lt;e&gt;Configure MPU_S Region 6</v>
      </c>
    </row>
    <row r="304" spans="1:2" x14ac:dyDescent="0.25">
      <c r="B304" s="18" t="s">
        <v>29</v>
      </c>
    </row>
    <row r="305" spans="1:2" x14ac:dyDescent="0.25">
      <c r="A305">
        <f>A303</f>
        <v>67</v>
      </c>
      <c r="B305" s="18" t="str">
        <f ca="1">"#define MPU_S_CONFIG_REG"&amp;A302&amp;"   "&amp;N(INDIRECT("CONFIG!A"&amp;A305))</f>
        <v>#define MPU_S_CONFIG_REG6   0</v>
      </c>
    </row>
    <row r="306" spans="1:2" x14ac:dyDescent="0.25">
      <c r="B306" s="18" t="s">
        <v>228</v>
      </c>
    </row>
    <row r="307" spans="1:2" x14ac:dyDescent="0.25">
      <c r="A307">
        <f>A303+1</f>
        <v>68</v>
      </c>
      <c r="B307" s="18" t="str">
        <f ca="1">"#define MPU_S_ENABLE_REG"&amp;A302&amp;"   "&amp;N(INDIRECT("CONFIG!A"&amp;A307))</f>
        <v>#define MPU_S_ENABLE_REG6   1</v>
      </c>
    </row>
    <row r="308" spans="1:2" x14ac:dyDescent="0.25">
      <c r="B308" s="18" t="s">
        <v>8</v>
      </c>
    </row>
    <row r="309" spans="1:2" x14ac:dyDescent="0.25">
      <c r="B309" s="18" t="s">
        <v>54</v>
      </c>
    </row>
    <row r="310" spans="1:2" x14ac:dyDescent="0.25">
      <c r="A310">
        <f>A303+2</f>
        <v>69</v>
      </c>
      <c r="B310" s="18" t="str" cm="1">
        <f t="array" aca="1" ref="B310" ca="1">"#define MPU_S_BASE_REG"&amp;A302&amp;"     0x"&amp;INDIRECT("CONFIG!A"&amp;A310)</f>
        <v>#define MPU_S_BASE_REG6     0x00000000</v>
      </c>
    </row>
    <row r="311" spans="1:2" x14ac:dyDescent="0.25">
      <c r="B311" s="18" t="s">
        <v>55</v>
      </c>
    </row>
    <row r="312" spans="1:2" x14ac:dyDescent="0.25">
      <c r="B312" s="18" t="s">
        <v>56</v>
      </c>
    </row>
    <row r="313" spans="1:2" x14ac:dyDescent="0.25">
      <c r="A313">
        <f>A303+3</f>
        <v>70</v>
      </c>
      <c r="B313" s="18" t="str">
        <f ca="1">"#define MPU_S_END_REG"&amp;A302&amp;"      0x"&amp;DEC2HEX(HEX2DEC(INDIRECT("CONFIG!A"&amp;A313))+1,8)</f>
        <v>#define MPU_S_END_REG6      0x00000020</v>
      </c>
    </row>
    <row r="314" spans="1:2" x14ac:dyDescent="0.25">
      <c r="B314" s="18" t="str">
        <f>"#define MPU_S_LIMIT_REG"&amp;A302&amp;"    (MPU_S_END_REG"&amp;A302&amp;" - 1u)"</f>
        <v>#define MPU_S_LIMIT_REG6    (MPU_S_END_REG6 - 1u)</v>
      </c>
    </row>
    <row r="315" spans="1:2" x14ac:dyDescent="0.25">
      <c r="B315" s="18" t="s">
        <v>9</v>
      </c>
    </row>
    <row r="316" spans="1:2" x14ac:dyDescent="0.25">
      <c r="B316" s="18" t="s">
        <v>57</v>
      </c>
    </row>
    <row r="317" spans="1:2" x14ac:dyDescent="0.25">
      <c r="B317" s="18" t="s">
        <v>58</v>
      </c>
    </row>
    <row r="318" spans="1:2" x14ac:dyDescent="0.25">
      <c r="B318" s="18" t="s">
        <v>59</v>
      </c>
    </row>
    <row r="319" spans="1:2" x14ac:dyDescent="0.25">
      <c r="B319" s="18" t="s">
        <v>60</v>
      </c>
    </row>
    <row r="320" spans="1:2" x14ac:dyDescent="0.25">
      <c r="A320">
        <f>A303+4</f>
        <v>71</v>
      </c>
      <c r="B320" s="18" t="str" cm="1">
        <f t="array" aca="1" ref="B320" ca="1">"#define MPU_S_PERM_REG"&amp;A302&amp;"    "&amp;INDIRECT("CONFIG!A"&amp;A320)-1</f>
        <v>#define MPU_S_PERM_REG6    0</v>
      </c>
    </row>
    <row r="321" spans="1:2" x14ac:dyDescent="0.25">
      <c r="B321" s="18" t="s">
        <v>10</v>
      </c>
    </row>
    <row r="322" spans="1:2" x14ac:dyDescent="0.25">
      <c r="A322">
        <f>A303+5</f>
        <v>72</v>
      </c>
      <c r="B322" s="18" t="str">
        <f ca="1">"#define MPU_S_XN_REG"&amp;A302&amp;"      "&amp;N(INDIRECT("CONFIG!A"&amp;A322))</f>
        <v>#define MPU_S_XN_REG6      0</v>
      </c>
    </row>
    <row r="323" spans="1:2" x14ac:dyDescent="0.25">
      <c r="B323" s="18" t="s">
        <v>61</v>
      </c>
    </row>
    <row r="324" spans="1:2" x14ac:dyDescent="0.25">
      <c r="A324">
        <f>A305+6</f>
        <v>73</v>
      </c>
      <c r="B324" s="18" t="str">
        <f ca="1">"#define MPU_S_PXN_REG"&amp;A302&amp;"     "&amp;N(INDIRECT("CONFIG!A"&amp;A324))</f>
        <v>#define MPU_S_PXN_REG6     0</v>
      </c>
    </row>
    <row r="325" spans="1:2" x14ac:dyDescent="0.25">
      <c r="B325" s="18" t="s">
        <v>69</v>
      </c>
    </row>
    <row r="326" spans="1:2" x14ac:dyDescent="0.25">
      <c r="B326" s="18" t="s">
        <v>11</v>
      </c>
    </row>
    <row r="327" spans="1:2" x14ac:dyDescent="0.25">
      <c r="B327" s="18" t="s">
        <v>70</v>
      </c>
    </row>
    <row r="328" spans="1:2" x14ac:dyDescent="0.25">
      <c r="B328" s="18" t="s">
        <v>71</v>
      </c>
    </row>
    <row r="329" spans="1:2" x14ac:dyDescent="0.25">
      <c r="B329" s="18" t="s">
        <v>72</v>
      </c>
    </row>
    <row r="330" spans="1:2" x14ac:dyDescent="0.25">
      <c r="A330">
        <f>A303+7</f>
        <v>74</v>
      </c>
      <c r="B330" s="18" t="str" cm="1">
        <f t="array" aca="1" ref="B330" ca="1">"#define MPU_S_SHARE_REG"&amp;A302&amp;"   "&amp;(INDIRECT("CONFIG!A"&amp;A330)-1)</f>
        <v>#define MPU_S_SHARE_REG6   0</v>
      </c>
    </row>
    <row r="331" spans="1:2" x14ac:dyDescent="0.25">
      <c r="B331" s="18" t="s">
        <v>62</v>
      </c>
    </row>
    <row r="332" spans="1:2" x14ac:dyDescent="0.25">
      <c r="B332" s="18" t="s">
        <v>75</v>
      </c>
    </row>
    <row r="333" spans="1:2" x14ac:dyDescent="0.25">
      <c r="B333" s="18" t="s">
        <v>76</v>
      </c>
    </row>
    <row r="334" spans="1:2" x14ac:dyDescent="0.25">
      <c r="B334" s="18" t="s">
        <v>77</v>
      </c>
    </row>
    <row r="335" spans="1:2" x14ac:dyDescent="0.25">
      <c r="B335" s="18" t="s">
        <v>78</v>
      </c>
    </row>
    <row r="336" spans="1:2" x14ac:dyDescent="0.25">
      <c r="B336" s="18" t="s">
        <v>79</v>
      </c>
    </row>
    <row r="337" spans="1:2" x14ac:dyDescent="0.25">
      <c r="B337" s="18" t="s">
        <v>80</v>
      </c>
    </row>
    <row r="338" spans="1:2" x14ac:dyDescent="0.25">
      <c r="B338" s="18" t="s">
        <v>81</v>
      </c>
    </row>
    <row r="339" spans="1:2" x14ac:dyDescent="0.25">
      <c r="B339" s="18" t="s">
        <v>82</v>
      </c>
    </row>
    <row r="340" spans="1:2" x14ac:dyDescent="0.25">
      <c r="A340">
        <f>A303+8</f>
        <v>75</v>
      </c>
      <c r="B340" s="18" t="str" cm="1">
        <f t="array" aca="1" ref="B340" ca="1">"#define MPU_S_ATTRIND"&amp;A302&amp;"     "&amp;INDIRECT("CONFIG!A"&amp;A340)-1</f>
        <v>#define MPU_S_ATTRIND6     0</v>
      </c>
    </row>
    <row r="341" spans="1:2" x14ac:dyDescent="0.25">
      <c r="B341" s="18" t="str">
        <f>"//   &lt;/e&gt;   //MPU_S Region "&amp;A302&amp;" ********************************"</f>
        <v>//   &lt;/e&gt;   //MPU_S Region 6 ********************************</v>
      </c>
    </row>
    <row r="342" spans="1:2" x14ac:dyDescent="0.25">
      <c r="B342" s="18" t="s">
        <v>138</v>
      </c>
    </row>
    <row r="343" spans="1:2" x14ac:dyDescent="0.25">
      <c r="A343" s="2">
        <f>A302+1</f>
        <v>7</v>
      </c>
      <c r="B343" s="18" t="str">
        <f>"// MPU_S Region "&amp;A343&amp;" ********************************"</f>
        <v>// MPU_S Region 7 ********************************</v>
      </c>
    </row>
    <row r="344" spans="1:2" x14ac:dyDescent="0.25">
      <c r="A344" s="2">
        <f>A303+10</f>
        <v>77</v>
      </c>
      <c r="B344" s="18" t="str">
        <f>"// &lt;e&gt;Configure MPU_S Region "&amp;A343</f>
        <v>// &lt;e&gt;Configure MPU_S Region 7</v>
      </c>
    </row>
    <row r="345" spans="1:2" x14ac:dyDescent="0.25">
      <c r="B345" s="18" t="s">
        <v>29</v>
      </c>
    </row>
    <row r="346" spans="1:2" x14ac:dyDescent="0.25">
      <c r="A346">
        <f>A344</f>
        <v>77</v>
      </c>
      <c r="B346" s="18" t="str">
        <f ca="1">"#define MPU_S_CONFIG_REG"&amp;A343&amp;"   "&amp;N(INDIRECT("CONFIG!A"&amp;A346))</f>
        <v>#define MPU_S_CONFIG_REG7   0</v>
      </c>
    </row>
    <row r="347" spans="1:2" x14ac:dyDescent="0.25">
      <c r="B347" s="18" t="s">
        <v>228</v>
      </c>
    </row>
    <row r="348" spans="1:2" x14ac:dyDescent="0.25">
      <c r="A348">
        <f>A344+1</f>
        <v>78</v>
      </c>
      <c r="B348" s="18" t="str">
        <f ca="1">"#define MPU_S_ENABLE_REG"&amp;A343&amp;"   "&amp;N(INDIRECT("CONFIG!A"&amp;A348))</f>
        <v>#define MPU_S_ENABLE_REG7   1</v>
      </c>
    </row>
    <row r="349" spans="1:2" x14ac:dyDescent="0.25">
      <c r="B349" s="18" t="s">
        <v>8</v>
      </c>
    </row>
    <row r="350" spans="1:2" x14ac:dyDescent="0.25">
      <c r="B350" s="18" t="s">
        <v>54</v>
      </c>
    </row>
    <row r="351" spans="1:2" x14ac:dyDescent="0.25">
      <c r="A351">
        <f>A344+2</f>
        <v>79</v>
      </c>
      <c r="B351" s="18" t="str" cm="1">
        <f t="array" aca="1" ref="B351" ca="1">"#define MPU_S_BASE_REG"&amp;A343&amp;"     0x"&amp;INDIRECT("CONFIG!A"&amp;A351)</f>
        <v>#define MPU_S_BASE_REG7     0x00000000</v>
      </c>
    </row>
    <row r="352" spans="1:2" x14ac:dyDescent="0.25">
      <c r="B352" s="18" t="s">
        <v>55</v>
      </c>
    </row>
    <row r="353" spans="1:2" x14ac:dyDescent="0.25">
      <c r="B353" s="18" t="s">
        <v>56</v>
      </c>
    </row>
    <row r="354" spans="1:2" x14ac:dyDescent="0.25">
      <c r="A354">
        <f>A344+3</f>
        <v>80</v>
      </c>
      <c r="B354" s="18" t="str">
        <f ca="1">"#define MPU_S_END_REG"&amp;A343&amp;"      0x"&amp;DEC2HEX(HEX2DEC(INDIRECT("CONFIG!A"&amp;A354))+1,8)</f>
        <v>#define MPU_S_END_REG7      0x00000020</v>
      </c>
    </row>
    <row r="355" spans="1:2" x14ac:dyDescent="0.25">
      <c r="B355" s="18" t="str">
        <f>"#define MPU_S_LIMIT_REG"&amp;A343&amp;"    (MPU_S_END_REG"&amp;A343&amp;" - 1u)"</f>
        <v>#define MPU_S_LIMIT_REG7    (MPU_S_END_REG7 - 1u)</v>
      </c>
    </row>
    <row r="356" spans="1:2" x14ac:dyDescent="0.25">
      <c r="B356" s="18" t="s">
        <v>9</v>
      </c>
    </row>
    <row r="357" spans="1:2" x14ac:dyDescent="0.25">
      <c r="B357" s="18" t="s">
        <v>57</v>
      </c>
    </row>
    <row r="358" spans="1:2" x14ac:dyDescent="0.25">
      <c r="B358" s="18" t="s">
        <v>58</v>
      </c>
    </row>
    <row r="359" spans="1:2" x14ac:dyDescent="0.25">
      <c r="B359" s="18" t="s">
        <v>59</v>
      </c>
    </row>
    <row r="360" spans="1:2" x14ac:dyDescent="0.25">
      <c r="B360" s="18" t="s">
        <v>60</v>
      </c>
    </row>
    <row r="361" spans="1:2" x14ac:dyDescent="0.25">
      <c r="A361">
        <f>A344+4</f>
        <v>81</v>
      </c>
      <c r="B361" s="18" t="str" cm="1">
        <f t="array" aca="1" ref="B361" ca="1">"#define MPU_S_PERM_REG"&amp;A343&amp;"    "&amp;INDIRECT("CONFIG!A"&amp;A361)-1</f>
        <v>#define MPU_S_PERM_REG7    0</v>
      </c>
    </row>
    <row r="362" spans="1:2" x14ac:dyDescent="0.25">
      <c r="B362" s="18" t="s">
        <v>10</v>
      </c>
    </row>
    <row r="363" spans="1:2" x14ac:dyDescent="0.25">
      <c r="A363">
        <f>A344+5</f>
        <v>82</v>
      </c>
      <c r="B363" s="18" t="str">
        <f ca="1">"#define MPU_S_XN_REG"&amp;A343&amp;"      "&amp;N(INDIRECT("CONFIG!A"&amp;A363))</f>
        <v>#define MPU_S_XN_REG7      0</v>
      </c>
    </row>
    <row r="364" spans="1:2" x14ac:dyDescent="0.25">
      <c r="B364" s="18" t="s">
        <v>61</v>
      </c>
    </row>
    <row r="365" spans="1:2" x14ac:dyDescent="0.25">
      <c r="A365">
        <f>A346+6</f>
        <v>83</v>
      </c>
      <c r="B365" s="18" t="str">
        <f ca="1">"#define MPU_S_PXN_REG"&amp;A343&amp;"     "&amp;N(INDIRECT("CONFIG!A"&amp;A365))</f>
        <v>#define MPU_S_PXN_REG7     0</v>
      </c>
    </row>
    <row r="366" spans="1:2" x14ac:dyDescent="0.25">
      <c r="B366" s="18" t="s">
        <v>69</v>
      </c>
    </row>
    <row r="367" spans="1:2" x14ac:dyDescent="0.25">
      <c r="B367" s="18" t="s">
        <v>11</v>
      </c>
    </row>
    <row r="368" spans="1:2" x14ac:dyDescent="0.25">
      <c r="B368" s="18" t="s">
        <v>70</v>
      </c>
    </row>
    <row r="369" spans="1:2" x14ac:dyDescent="0.25">
      <c r="B369" s="18" t="s">
        <v>71</v>
      </c>
    </row>
    <row r="370" spans="1:2" x14ac:dyDescent="0.25">
      <c r="B370" s="18" t="s">
        <v>72</v>
      </c>
    </row>
    <row r="371" spans="1:2" x14ac:dyDescent="0.25">
      <c r="A371">
        <f>A344+7</f>
        <v>84</v>
      </c>
      <c r="B371" s="18" t="str" cm="1">
        <f t="array" aca="1" ref="B371" ca="1">"#define MPU_S_SHARE_REG"&amp;A343&amp;"   "&amp;(INDIRECT("CONFIG!A"&amp;A371)-1)</f>
        <v>#define MPU_S_SHARE_REG7   0</v>
      </c>
    </row>
    <row r="372" spans="1:2" x14ac:dyDescent="0.25">
      <c r="B372" s="18" t="s">
        <v>62</v>
      </c>
    </row>
    <row r="373" spans="1:2" x14ac:dyDescent="0.25">
      <c r="B373" s="18" t="s">
        <v>75</v>
      </c>
    </row>
    <row r="374" spans="1:2" x14ac:dyDescent="0.25">
      <c r="B374" s="18" t="s">
        <v>76</v>
      </c>
    </row>
    <row r="375" spans="1:2" x14ac:dyDescent="0.25">
      <c r="B375" s="18" t="s">
        <v>77</v>
      </c>
    </row>
    <row r="376" spans="1:2" x14ac:dyDescent="0.25">
      <c r="B376" s="18" t="s">
        <v>78</v>
      </c>
    </row>
    <row r="377" spans="1:2" x14ac:dyDescent="0.25">
      <c r="B377" s="18" t="s">
        <v>79</v>
      </c>
    </row>
    <row r="378" spans="1:2" x14ac:dyDescent="0.25">
      <c r="B378" s="18" t="s">
        <v>80</v>
      </c>
    </row>
    <row r="379" spans="1:2" x14ac:dyDescent="0.25">
      <c r="B379" s="18" t="s">
        <v>81</v>
      </c>
    </row>
    <row r="380" spans="1:2" x14ac:dyDescent="0.25">
      <c r="B380" s="18" t="s">
        <v>82</v>
      </c>
    </row>
    <row r="381" spans="1:2" x14ac:dyDescent="0.25">
      <c r="A381">
        <f>A344+8</f>
        <v>85</v>
      </c>
      <c r="B381" s="18" t="str" cm="1">
        <f t="array" aca="1" ref="B381" ca="1">"#define MPU_S_ATTRIND"&amp;A343&amp;"     "&amp;INDIRECT("CONFIG!A"&amp;A381)-1</f>
        <v>#define MPU_S_ATTRIND7     0</v>
      </c>
    </row>
    <row r="382" spans="1:2" x14ac:dyDescent="0.25">
      <c r="B382" s="18" t="str">
        <f>"//   &lt;/e&gt;   //MPU_S Region "&amp;A343&amp;" ********************************"</f>
        <v>//   &lt;/e&gt;   //MPU_S Region 7 ********************************</v>
      </c>
    </row>
    <row r="383" spans="1:2" x14ac:dyDescent="0.25">
      <c r="B383" s="18" t="s">
        <v>138</v>
      </c>
    </row>
    <row r="384" spans="1:2" x14ac:dyDescent="0.25">
      <c r="A384" s="2">
        <f>A343+1</f>
        <v>8</v>
      </c>
      <c r="B384" s="18" t="str">
        <f>"// MPU_S Region "&amp;A384&amp;" ********************************"</f>
        <v>// MPU_S Region 8 ********************************</v>
      </c>
    </row>
    <row r="385" spans="1:2" x14ac:dyDescent="0.25">
      <c r="A385" s="2">
        <f>A344+10</f>
        <v>87</v>
      </c>
      <c r="B385" s="18" t="str">
        <f>"// &lt;e&gt;Configure MPU_S Region "&amp;A384</f>
        <v>// &lt;e&gt;Configure MPU_S Region 8</v>
      </c>
    </row>
    <row r="386" spans="1:2" x14ac:dyDescent="0.25">
      <c r="B386" s="18" t="s">
        <v>29</v>
      </c>
    </row>
    <row r="387" spans="1:2" x14ac:dyDescent="0.25">
      <c r="A387">
        <f>A385</f>
        <v>87</v>
      </c>
      <c r="B387" s="18" t="str">
        <f ca="1">"#define MPU_S_CONFIG_REG"&amp;A384&amp;"   "&amp;N(INDIRECT("CONFIG!A"&amp;A387))</f>
        <v>#define MPU_S_CONFIG_REG8   0</v>
      </c>
    </row>
    <row r="388" spans="1:2" x14ac:dyDescent="0.25">
      <c r="B388" s="18" t="s">
        <v>228</v>
      </c>
    </row>
    <row r="389" spans="1:2" x14ac:dyDescent="0.25">
      <c r="A389">
        <f>A385+1</f>
        <v>88</v>
      </c>
      <c r="B389" s="18" t="str">
        <f ca="1">"#define MPU_S_ENABLE_REG"&amp;A384&amp;"   "&amp;N(INDIRECT("CONFIG!A"&amp;A389))</f>
        <v>#define MPU_S_ENABLE_REG8   1</v>
      </c>
    </row>
    <row r="390" spans="1:2" x14ac:dyDescent="0.25">
      <c r="B390" s="18" t="s">
        <v>8</v>
      </c>
    </row>
    <row r="391" spans="1:2" x14ac:dyDescent="0.25">
      <c r="B391" s="18" t="s">
        <v>54</v>
      </c>
    </row>
    <row r="392" spans="1:2" x14ac:dyDescent="0.25">
      <c r="A392">
        <f>A385+2</f>
        <v>89</v>
      </c>
      <c r="B392" s="18" t="str" cm="1">
        <f t="array" aca="1" ref="B392" ca="1">"#define MPU_S_BASE_REG"&amp;A384&amp;"     0x"&amp;INDIRECT("CONFIG!A"&amp;A392)</f>
        <v>#define MPU_S_BASE_REG8     0x00000000</v>
      </c>
    </row>
    <row r="393" spans="1:2" x14ac:dyDescent="0.25">
      <c r="B393" s="18" t="s">
        <v>55</v>
      </c>
    </row>
    <row r="394" spans="1:2" x14ac:dyDescent="0.25">
      <c r="B394" s="18" t="s">
        <v>56</v>
      </c>
    </row>
    <row r="395" spans="1:2" x14ac:dyDescent="0.25">
      <c r="A395">
        <f>A385+3</f>
        <v>90</v>
      </c>
      <c r="B395" s="18" t="str">
        <f ca="1">"#define MPU_S_END_REG"&amp;A384&amp;"      0x"&amp;DEC2HEX(HEX2DEC(INDIRECT("CONFIG!A"&amp;A395))+1,8)</f>
        <v>#define MPU_S_END_REG8      0x00000020</v>
      </c>
    </row>
    <row r="396" spans="1:2" x14ac:dyDescent="0.25">
      <c r="B396" s="18" t="str">
        <f>"#define MPU_S_LIMIT_REG"&amp;A384&amp;"    (MPU_S_END_REG"&amp;A384&amp;" - 1u)"</f>
        <v>#define MPU_S_LIMIT_REG8    (MPU_S_END_REG8 - 1u)</v>
      </c>
    </row>
    <row r="397" spans="1:2" x14ac:dyDescent="0.25">
      <c r="B397" s="18" t="s">
        <v>9</v>
      </c>
    </row>
    <row r="398" spans="1:2" x14ac:dyDescent="0.25">
      <c r="B398" s="18" t="s">
        <v>57</v>
      </c>
    </row>
    <row r="399" spans="1:2" x14ac:dyDescent="0.25">
      <c r="B399" s="18" t="s">
        <v>58</v>
      </c>
    </row>
    <row r="400" spans="1:2" x14ac:dyDescent="0.25">
      <c r="B400" s="18" t="s">
        <v>59</v>
      </c>
    </row>
    <row r="401" spans="1:2" x14ac:dyDescent="0.25">
      <c r="B401" s="18" t="s">
        <v>60</v>
      </c>
    </row>
    <row r="402" spans="1:2" x14ac:dyDescent="0.25">
      <c r="A402">
        <f>A385+4</f>
        <v>91</v>
      </c>
      <c r="B402" s="18" t="str" cm="1">
        <f t="array" aca="1" ref="B402" ca="1">"#define MPU_S_PERM_REG"&amp;A384&amp;"    "&amp;INDIRECT("CONFIG!A"&amp;A402)-1</f>
        <v>#define MPU_S_PERM_REG8    1</v>
      </c>
    </row>
    <row r="403" spans="1:2" x14ac:dyDescent="0.25">
      <c r="B403" s="18" t="s">
        <v>10</v>
      </c>
    </row>
    <row r="404" spans="1:2" x14ac:dyDescent="0.25">
      <c r="A404">
        <f>A385+5</f>
        <v>92</v>
      </c>
      <c r="B404" s="18" t="str">
        <f ca="1">"#define MPU_S_XN_REG"&amp;A384&amp;"      "&amp;N(INDIRECT("CONFIG!A"&amp;A404))</f>
        <v>#define MPU_S_XN_REG8      0</v>
      </c>
    </row>
    <row r="405" spans="1:2" x14ac:dyDescent="0.25">
      <c r="B405" s="18" t="s">
        <v>61</v>
      </c>
    </row>
    <row r="406" spans="1:2" x14ac:dyDescent="0.25">
      <c r="A406">
        <f>A387+6</f>
        <v>93</v>
      </c>
      <c r="B406" s="18" t="str">
        <f ca="1">"#define MPU_S_PXN_REG"&amp;A384&amp;"     "&amp;N(INDIRECT("CONFIG!A"&amp;A406))</f>
        <v>#define MPU_S_PXN_REG8     0</v>
      </c>
    </row>
    <row r="407" spans="1:2" x14ac:dyDescent="0.25">
      <c r="B407" s="18" t="s">
        <v>69</v>
      </c>
    </row>
    <row r="408" spans="1:2" x14ac:dyDescent="0.25">
      <c r="B408" s="18" t="s">
        <v>11</v>
      </c>
    </row>
    <row r="409" spans="1:2" x14ac:dyDescent="0.25">
      <c r="B409" s="18" t="s">
        <v>70</v>
      </c>
    </row>
    <row r="410" spans="1:2" x14ac:dyDescent="0.25">
      <c r="B410" s="18" t="s">
        <v>71</v>
      </c>
    </row>
    <row r="411" spans="1:2" x14ac:dyDescent="0.25">
      <c r="B411" s="18" t="s">
        <v>72</v>
      </c>
    </row>
    <row r="412" spans="1:2" x14ac:dyDescent="0.25">
      <c r="A412">
        <f>A385+7</f>
        <v>94</v>
      </c>
      <c r="B412" s="18" t="str" cm="1">
        <f t="array" aca="1" ref="B412" ca="1">"#define MPU_S_SHARE_REG"&amp;A384&amp;"   "&amp;(INDIRECT("CONFIG!A"&amp;A412)-1)</f>
        <v>#define MPU_S_SHARE_REG8   0</v>
      </c>
    </row>
    <row r="413" spans="1:2" x14ac:dyDescent="0.25">
      <c r="B413" s="18" t="s">
        <v>62</v>
      </c>
    </row>
    <row r="414" spans="1:2" x14ac:dyDescent="0.25">
      <c r="B414" s="18" t="s">
        <v>75</v>
      </c>
    </row>
    <row r="415" spans="1:2" x14ac:dyDescent="0.25">
      <c r="B415" s="18" t="s">
        <v>76</v>
      </c>
    </row>
    <row r="416" spans="1:2" x14ac:dyDescent="0.25">
      <c r="B416" s="18" t="s">
        <v>77</v>
      </c>
    </row>
    <row r="417" spans="1:2" x14ac:dyDescent="0.25">
      <c r="B417" s="18" t="s">
        <v>78</v>
      </c>
    </row>
    <row r="418" spans="1:2" x14ac:dyDescent="0.25">
      <c r="B418" s="18" t="s">
        <v>79</v>
      </c>
    </row>
    <row r="419" spans="1:2" x14ac:dyDescent="0.25">
      <c r="B419" s="18" t="s">
        <v>80</v>
      </c>
    </row>
    <row r="420" spans="1:2" x14ac:dyDescent="0.25">
      <c r="B420" s="18" t="s">
        <v>81</v>
      </c>
    </row>
    <row r="421" spans="1:2" x14ac:dyDescent="0.25">
      <c r="B421" s="18" t="s">
        <v>82</v>
      </c>
    </row>
    <row r="422" spans="1:2" x14ac:dyDescent="0.25">
      <c r="A422">
        <f>A385+8</f>
        <v>95</v>
      </c>
      <c r="B422" s="18" t="str" cm="1">
        <f t="array" aca="1" ref="B422" ca="1">"#define MPU_S_ATTRIND"&amp;A384&amp;"     "&amp;INDIRECT("CONFIG!A"&amp;A422)-1</f>
        <v>#define MPU_S_ATTRIND8     0</v>
      </c>
    </row>
    <row r="423" spans="1:2" x14ac:dyDescent="0.25">
      <c r="B423" s="18" t="str">
        <f>"//   &lt;/e&gt;   //MPU_S Region "&amp;A384&amp;" ********************************"</f>
        <v>//   &lt;/e&gt;   //MPU_S Region 8 ********************************</v>
      </c>
    </row>
    <row r="424" spans="1:2" x14ac:dyDescent="0.25">
      <c r="B424" s="18" t="s">
        <v>138</v>
      </c>
    </row>
    <row r="425" spans="1:2" x14ac:dyDescent="0.25">
      <c r="A425" s="2">
        <f>A384+1</f>
        <v>9</v>
      </c>
      <c r="B425" s="18" t="str">
        <f>"// MPU_S Region "&amp;A425&amp;" ********************************"</f>
        <v>// MPU_S Region 9 ********************************</v>
      </c>
    </row>
    <row r="426" spans="1:2" x14ac:dyDescent="0.25">
      <c r="A426" s="2">
        <f>A385+10</f>
        <v>97</v>
      </c>
      <c r="B426" s="18" t="str">
        <f>"// &lt;e&gt;Configure MPU_S Region "&amp;A425</f>
        <v>// &lt;e&gt;Configure MPU_S Region 9</v>
      </c>
    </row>
    <row r="427" spans="1:2" x14ac:dyDescent="0.25">
      <c r="B427" s="18" t="s">
        <v>29</v>
      </c>
    </row>
    <row r="428" spans="1:2" x14ac:dyDescent="0.25">
      <c r="A428">
        <f>A426</f>
        <v>97</v>
      </c>
      <c r="B428" s="18" t="str">
        <f ca="1">"#define MPU_S_CONFIG_REG"&amp;A425&amp;"   "&amp;N(INDIRECT("CONFIG!A"&amp;A428))</f>
        <v>#define MPU_S_CONFIG_REG9   0</v>
      </c>
    </row>
    <row r="429" spans="1:2" x14ac:dyDescent="0.25">
      <c r="B429" s="18" t="s">
        <v>228</v>
      </c>
    </row>
    <row r="430" spans="1:2" x14ac:dyDescent="0.25">
      <c r="A430">
        <f>A426+1</f>
        <v>98</v>
      </c>
      <c r="B430" s="18" t="str">
        <f ca="1">"#define MPU_S_ENABLE_REG"&amp;A425&amp;"   "&amp;N(INDIRECT("CONFIG!A"&amp;A430))</f>
        <v>#define MPU_S_ENABLE_REG9   0</v>
      </c>
    </row>
    <row r="431" spans="1:2" x14ac:dyDescent="0.25">
      <c r="B431" s="18" t="s">
        <v>8</v>
      </c>
    </row>
    <row r="432" spans="1:2" x14ac:dyDescent="0.25">
      <c r="B432" s="18" t="s">
        <v>54</v>
      </c>
    </row>
    <row r="433" spans="1:2" x14ac:dyDescent="0.25">
      <c r="A433">
        <f>A426+2</f>
        <v>99</v>
      </c>
      <c r="B433" s="18" t="str" cm="1">
        <f t="array" aca="1" ref="B433" ca="1">"#define MPU_S_BASE_REG"&amp;A425&amp;"     0x"&amp;INDIRECT("CONFIG!A"&amp;A433)</f>
        <v>#define MPU_S_BASE_REG9     0x00000000</v>
      </c>
    </row>
    <row r="434" spans="1:2" x14ac:dyDescent="0.25">
      <c r="B434" s="18" t="s">
        <v>55</v>
      </c>
    </row>
    <row r="435" spans="1:2" x14ac:dyDescent="0.25">
      <c r="B435" s="18" t="s">
        <v>56</v>
      </c>
    </row>
    <row r="436" spans="1:2" x14ac:dyDescent="0.25">
      <c r="A436">
        <f>A426+3</f>
        <v>100</v>
      </c>
      <c r="B436" s="18" t="str">
        <f ca="1">"#define MPU_S_END_REG"&amp;A425&amp;"      0x"&amp;DEC2HEX(HEX2DEC(INDIRECT("CONFIG!A"&amp;A436))+1,8)</f>
        <v>#define MPU_S_END_REG9      0x00000020</v>
      </c>
    </row>
    <row r="437" spans="1:2" x14ac:dyDescent="0.25">
      <c r="B437" s="18" t="str">
        <f>"#define MPU_S_LIMIT_REG"&amp;A425&amp;"    (MPU_S_END_REG"&amp;A425&amp;" - 1u)"</f>
        <v>#define MPU_S_LIMIT_REG9    (MPU_S_END_REG9 - 1u)</v>
      </c>
    </row>
    <row r="438" spans="1:2" x14ac:dyDescent="0.25">
      <c r="B438" s="18" t="s">
        <v>9</v>
      </c>
    </row>
    <row r="439" spans="1:2" x14ac:dyDescent="0.25">
      <c r="B439" s="18" t="s">
        <v>57</v>
      </c>
    </row>
    <row r="440" spans="1:2" x14ac:dyDescent="0.25">
      <c r="B440" s="18" t="s">
        <v>58</v>
      </c>
    </row>
    <row r="441" spans="1:2" x14ac:dyDescent="0.25">
      <c r="B441" s="18" t="s">
        <v>59</v>
      </c>
    </row>
    <row r="442" spans="1:2" x14ac:dyDescent="0.25">
      <c r="B442" s="18" t="s">
        <v>60</v>
      </c>
    </row>
    <row r="443" spans="1:2" x14ac:dyDescent="0.25">
      <c r="A443">
        <f>A426+4</f>
        <v>101</v>
      </c>
      <c r="B443" s="18" t="str" cm="1">
        <f t="array" aca="1" ref="B443" ca="1">"#define MPU_S_PERM_REG"&amp;A425&amp;"    "&amp;INDIRECT("CONFIG!A"&amp;A443)-1</f>
        <v>#define MPU_S_PERM_REG9    0</v>
      </c>
    </row>
    <row r="444" spans="1:2" x14ac:dyDescent="0.25">
      <c r="B444" s="18" t="s">
        <v>10</v>
      </c>
    </row>
    <row r="445" spans="1:2" x14ac:dyDescent="0.25">
      <c r="A445">
        <f>A426+5</f>
        <v>102</v>
      </c>
      <c r="B445" s="18" t="str">
        <f ca="1">"#define MPU_S_XN_REG"&amp;A425&amp;"      "&amp;N(INDIRECT("CONFIG!A"&amp;A445))</f>
        <v>#define MPU_S_XN_REG9      0</v>
      </c>
    </row>
    <row r="446" spans="1:2" x14ac:dyDescent="0.25">
      <c r="B446" s="18" t="s">
        <v>61</v>
      </c>
    </row>
    <row r="447" spans="1:2" x14ac:dyDescent="0.25">
      <c r="A447">
        <f>A428+6</f>
        <v>103</v>
      </c>
      <c r="B447" s="18" t="str">
        <f ca="1">"#define MPU_S_PXN_REG"&amp;A425&amp;"     "&amp;N(INDIRECT("CONFIG!A"&amp;A447))</f>
        <v>#define MPU_S_PXN_REG9     0</v>
      </c>
    </row>
    <row r="448" spans="1:2" x14ac:dyDescent="0.25">
      <c r="B448" s="18" t="s">
        <v>69</v>
      </c>
    </row>
    <row r="449" spans="1:2" x14ac:dyDescent="0.25">
      <c r="B449" s="18" t="s">
        <v>11</v>
      </c>
    </row>
    <row r="450" spans="1:2" x14ac:dyDescent="0.25">
      <c r="B450" s="18" t="s">
        <v>70</v>
      </c>
    </row>
    <row r="451" spans="1:2" x14ac:dyDescent="0.25">
      <c r="B451" s="18" t="s">
        <v>71</v>
      </c>
    </row>
    <row r="452" spans="1:2" x14ac:dyDescent="0.25">
      <c r="B452" s="18" t="s">
        <v>72</v>
      </c>
    </row>
    <row r="453" spans="1:2" x14ac:dyDescent="0.25">
      <c r="A453">
        <f>A426+7</f>
        <v>104</v>
      </c>
      <c r="B453" s="18" t="str" cm="1">
        <f t="array" aca="1" ref="B453" ca="1">"#define MPU_S_SHARE_REG"&amp;A425&amp;"   "&amp;(INDIRECT("CONFIG!A"&amp;A453)-1)</f>
        <v>#define MPU_S_SHARE_REG9   0</v>
      </c>
    </row>
    <row r="454" spans="1:2" x14ac:dyDescent="0.25">
      <c r="B454" s="18" t="s">
        <v>62</v>
      </c>
    </row>
    <row r="455" spans="1:2" x14ac:dyDescent="0.25">
      <c r="B455" s="18" t="s">
        <v>75</v>
      </c>
    </row>
    <row r="456" spans="1:2" x14ac:dyDescent="0.25">
      <c r="B456" s="18" t="s">
        <v>76</v>
      </c>
    </row>
    <row r="457" spans="1:2" x14ac:dyDescent="0.25">
      <c r="B457" s="18" t="s">
        <v>77</v>
      </c>
    </row>
    <row r="458" spans="1:2" x14ac:dyDescent="0.25">
      <c r="B458" s="18" t="s">
        <v>78</v>
      </c>
    </row>
    <row r="459" spans="1:2" x14ac:dyDescent="0.25">
      <c r="B459" s="18" t="s">
        <v>79</v>
      </c>
    </row>
    <row r="460" spans="1:2" x14ac:dyDescent="0.25">
      <c r="B460" s="18" t="s">
        <v>80</v>
      </c>
    </row>
    <row r="461" spans="1:2" x14ac:dyDescent="0.25">
      <c r="B461" s="18" t="s">
        <v>81</v>
      </c>
    </row>
    <row r="462" spans="1:2" x14ac:dyDescent="0.25">
      <c r="B462" s="18" t="s">
        <v>82</v>
      </c>
    </row>
    <row r="463" spans="1:2" x14ac:dyDescent="0.25">
      <c r="A463">
        <f>A426+8</f>
        <v>105</v>
      </c>
      <c r="B463" s="18" t="str" cm="1">
        <f t="array" aca="1" ref="B463" ca="1">"#define MPU_S_ATTRIND"&amp;A425&amp;"     "&amp;INDIRECT("CONFIG!A"&amp;A463)-1</f>
        <v>#define MPU_S_ATTRIND9     0</v>
      </c>
    </row>
    <row r="464" spans="1:2" x14ac:dyDescent="0.25">
      <c r="B464" s="18" t="str">
        <f>"//   &lt;/e&gt;   //MPU_S Region "&amp;A425&amp;" ********************************"</f>
        <v>//   &lt;/e&gt;   //MPU_S Region 9 ********************************</v>
      </c>
    </row>
    <row r="465" spans="1:2" x14ac:dyDescent="0.25">
      <c r="B465" s="18" t="s">
        <v>138</v>
      </c>
    </row>
    <row r="466" spans="1:2" x14ac:dyDescent="0.25">
      <c r="A466" s="2">
        <f>A425+1</f>
        <v>10</v>
      </c>
      <c r="B466" s="18" t="str">
        <f>"// MPU_S Region "&amp;A466&amp;" ********************************"</f>
        <v>// MPU_S Region 10 ********************************</v>
      </c>
    </row>
    <row r="467" spans="1:2" x14ac:dyDescent="0.25">
      <c r="A467" s="2">
        <f>A426+10</f>
        <v>107</v>
      </c>
      <c r="B467" s="18" t="str">
        <f>"// &lt;e&gt;Configure MPU_S Region "&amp;A466</f>
        <v>// &lt;e&gt;Configure MPU_S Region 10</v>
      </c>
    </row>
    <row r="468" spans="1:2" x14ac:dyDescent="0.25">
      <c r="B468" s="18" t="s">
        <v>29</v>
      </c>
    </row>
    <row r="469" spans="1:2" x14ac:dyDescent="0.25">
      <c r="A469">
        <f>A467</f>
        <v>107</v>
      </c>
      <c r="B469" s="18" t="str">
        <f ca="1">"#define MPU_S_CONFIG_REG"&amp;A466&amp;"  "&amp;N(INDIRECT("CONFIG!A"&amp;A469))</f>
        <v>#define MPU_S_CONFIG_REG10  0</v>
      </c>
    </row>
    <row r="470" spans="1:2" x14ac:dyDescent="0.25">
      <c r="B470" s="18" t="s">
        <v>228</v>
      </c>
    </row>
    <row r="471" spans="1:2" x14ac:dyDescent="0.25">
      <c r="A471">
        <f>A467+1</f>
        <v>108</v>
      </c>
      <c r="B471" s="18" t="str">
        <f ca="1">"#define MPU_S_ENABLE_REG"&amp;A466&amp;"  "&amp;N(INDIRECT("CONFIG!A"&amp;A471))</f>
        <v>#define MPU_S_ENABLE_REG10  1</v>
      </c>
    </row>
    <row r="472" spans="1:2" x14ac:dyDescent="0.25">
      <c r="B472" s="18" t="s">
        <v>8</v>
      </c>
    </row>
    <row r="473" spans="1:2" x14ac:dyDescent="0.25">
      <c r="B473" s="18" t="s">
        <v>54</v>
      </c>
    </row>
    <row r="474" spans="1:2" x14ac:dyDescent="0.25">
      <c r="A474">
        <f>A467+2</f>
        <v>109</v>
      </c>
      <c r="B474" s="18" t="str" cm="1">
        <f t="array" aca="1" ref="B474" ca="1">"#define MPU_S_BASE_REG"&amp;A466&amp;"    0x"&amp;INDIRECT("CONFIG!A"&amp;A474)</f>
        <v>#define MPU_S_BASE_REG10    0x00000000</v>
      </c>
    </row>
    <row r="475" spans="1:2" x14ac:dyDescent="0.25">
      <c r="B475" s="18" t="s">
        <v>55</v>
      </c>
    </row>
    <row r="476" spans="1:2" x14ac:dyDescent="0.25">
      <c r="B476" s="18" t="s">
        <v>56</v>
      </c>
    </row>
    <row r="477" spans="1:2" x14ac:dyDescent="0.25">
      <c r="A477">
        <f>A467+3</f>
        <v>110</v>
      </c>
      <c r="B477" s="18" t="str">
        <f ca="1">"#define MPU_S_END_REG"&amp;A466&amp;"     0x"&amp;DEC2HEX(HEX2DEC(INDIRECT("CONFIG!A"&amp;A477))+1,8)</f>
        <v>#define MPU_S_END_REG10     0x00000020</v>
      </c>
    </row>
    <row r="478" spans="1:2" x14ac:dyDescent="0.25">
      <c r="B478" s="18" t="str">
        <f>"#define MPU_S_LIMIT_REG"&amp;A466&amp;"   (MPU_S_END_REG"&amp;A466&amp;" - 1u)"</f>
        <v>#define MPU_S_LIMIT_REG10   (MPU_S_END_REG10 - 1u)</v>
      </c>
    </row>
    <row r="479" spans="1:2" x14ac:dyDescent="0.25">
      <c r="B479" s="18" t="s">
        <v>9</v>
      </c>
    </row>
    <row r="480" spans="1:2" x14ac:dyDescent="0.25">
      <c r="B480" s="18" t="s">
        <v>57</v>
      </c>
    </row>
    <row r="481" spans="1:2" x14ac:dyDescent="0.25">
      <c r="B481" s="18" t="s">
        <v>58</v>
      </c>
    </row>
    <row r="482" spans="1:2" x14ac:dyDescent="0.25">
      <c r="B482" s="18" t="s">
        <v>59</v>
      </c>
    </row>
    <row r="483" spans="1:2" x14ac:dyDescent="0.25">
      <c r="B483" s="18" t="s">
        <v>60</v>
      </c>
    </row>
    <row r="484" spans="1:2" x14ac:dyDescent="0.25">
      <c r="A484">
        <f>A467+4</f>
        <v>111</v>
      </c>
      <c r="B484" s="18" t="str" cm="1">
        <f t="array" aca="1" ref="B484" ca="1">"#define MPU_S_PERM_REG"&amp;A466&amp;"    "&amp;INDIRECT("CONFIG!A"&amp;A484)-1</f>
        <v>#define MPU_S_PERM_REG10    0</v>
      </c>
    </row>
    <row r="485" spans="1:2" x14ac:dyDescent="0.25">
      <c r="B485" s="18" t="s">
        <v>10</v>
      </c>
    </row>
    <row r="486" spans="1:2" x14ac:dyDescent="0.25">
      <c r="A486">
        <f>A467+5</f>
        <v>112</v>
      </c>
      <c r="B486" s="18" t="str">
        <f ca="1">"#define MPU_S_XN_REG"&amp;A466&amp;"      "&amp;N(INDIRECT("CONFIG!A"&amp;A486))</f>
        <v>#define MPU_S_XN_REG10      0</v>
      </c>
    </row>
    <row r="487" spans="1:2" x14ac:dyDescent="0.25">
      <c r="B487" s="18" t="s">
        <v>61</v>
      </c>
    </row>
    <row r="488" spans="1:2" x14ac:dyDescent="0.25">
      <c r="A488">
        <f>A469+6</f>
        <v>113</v>
      </c>
      <c r="B488" s="18" t="str">
        <f ca="1">"#define MPU_S_PXN_REG"&amp;A466&amp;"     "&amp;N(INDIRECT("CONFIG!A"&amp;A488))</f>
        <v>#define MPU_S_PXN_REG10     0</v>
      </c>
    </row>
    <row r="489" spans="1:2" x14ac:dyDescent="0.25">
      <c r="B489" s="18" t="s">
        <v>69</v>
      </c>
    </row>
    <row r="490" spans="1:2" x14ac:dyDescent="0.25">
      <c r="B490" s="18" t="s">
        <v>11</v>
      </c>
    </row>
    <row r="491" spans="1:2" x14ac:dyDescent="0.25">
      <c r="B491" s="18" t="s">
        <v>70</v>
      </c>
    </row>
    <row r="492" spans="1:2" x14ac:dyDescent="0.25">
      <c r="B492" s="18" t="s">
        <v>71</v>
      </c>
    </row>
    <row r="493" spans="1:2" x14ac:dyDescent="0.25">
      <c r="B493" s="18" t="s">
        <v>72</v>
      </c>
    </row>
    <row r="494" spans="1:2" x14ac:dyDescent="0.25">
      <c r="A494">
        <f>A467+7</f>
        <v>114</v>
      </c>
      <c r="B494" s="18" t="str" cm="1">
        <f t="array" aca="1" ref="B494" ca="1">"#define MPU_S_SHARE_REG"&amp;A466&amp;"   "&amp;(INDIRECT("CONFIG!A"&amp;A494)-1)</f>
        <v>#define MPU_S_SHARE_REG10   0</v>
      </c>
    </row>
    <row r="495" spans="1:2" x14ac:dyDescent="0.25">
      <c r="B495" s="18" t="s">
        <v>62</v>
      </c>
    </row>
    <row r="496" spans="1:2" x14ac:dyDescent="0.25">
      <c r="B496" s="18" t="s">
        <v>75</v>
      </c>
    </row>
    <row r="497" spans="1:2" x14ac:dyDescent="0.25">
      <c r="B497" s="18" t="s">
        <v>76</v>
      </c>
    </row>
    <row r="498" spans="1:2" x14ac:dyDescent="0.25">
      <c r="B498" s="18" t="s">
        <v>77</v>
      </c>
    </row>
    <row r="499" spans="1:2" x14ac:dyDescent="0.25">
      <c r="B499" s="18" t="s">
        <v>78</v>
      </c>
    </row>
    <row r="500" spans="1:2" x14ac:dyDescent="0.25">
      <c r="B500" s="18" t="s">
        <v>79</v>
      </c>
    </row>
    <row r="501" spans="1:2" x14ac:dyDescent="0.25">
      <c r="B501" s="18" t="s">
        <v>80</v>
      </c>
    </row>
    <row r="502" spans="1:2" x14ac:dyDescent="0.25">
      <c r="B502" s="18" t="s">
        <v>81</v>
      </c>
    </row>
    <row r="503" spans="1:2" x14ac:dyDescent="0.25">
      <c r="B503" s="18" t="s">
        <v>82</v>
      </c>
    </row>
    <row r="504" spans="1:2" x14ac:dyDescent="0.25">
      <c r="A504">
        <f>A467+8</f>
        <v>115</v>
      </c>
      <c r="B504" s="18" t="str" cm="1">
        <f t="array" aca="1" ref="B504" ca="1">"#define MPU_S_ATTRIND"&amp;A466&amp;"     "&amp;INDIRECT("CONFIG!A"&amp;A504)-1</f>
        <v>#define MPU_S_ATTRIND10     0</v>
      </c>
    </row>
    <row r="505" spans="1:2" x14ac:dyDescent="0.25">
      <c r="B505" s="18" t="str">
        <f>"//   &lt;/e&gt;   //MPU_S Region "&amp;A466&amp;" ********************************"</f>
        <v>//   &lt;/e&gt;   //MPU_S Region 10 ********************************</v>
      </c>
    </row>
    <row r="506" spans="1:2" x14ac:dyDescent="0.25">
      <c r="B506" s="18" t="s">
        <v>138</v>
      </c>
    </row>
    <row r="507" spans="1:2" x14ac:dyDescent="0.25">
      <c r="A507" s="2">
        <f>A466+1</f>
        <v>11</v>
      </c>
      <c r="B507" s="18" t="str">
        <f>"// MPU_S Region "&amp;A507&amp;" ********************************"</f>
        <v>// MPU_S Region 11 ********************************</v>
      </c>
    </row>
    <row r="508" spans="1:2" x14ac:dyDescent="0.25">
      <c r="A508" s="2">
        <f>A467+10</f>
        <v>117</v>
      </c>
      <c r="B508" s="18" t="str">
        <f>"// &lt;e&gt;Configure MPU_S Region "&amp;A507</f>
        <v>// &lt;e&gt;Configure MPU_S Region 11</v>
      </c>
    </row>
    <row r="509" spans="1:2" x14ac:dyDescent="0.25">
      <c r="B509" s="18" t="s">
        <v>29</v>
      </c>
    </row>
    <row r="510" spans="1:2" x14ac:dyDescent="0.25">
      <c r="A510">
        <f>A508</f>
        <v>117</v>
      </c>
      <c r="B510" s="18" t="str">
        <f ca="1">"#define MPU_S_CONFIG_REG"&amp;A507&amp;"  "&amp;N(INDIRECT("CONFIG!A"&amp;A510))</f>
        <v>#define MPU_S_CONFIG_REG11  0</v>
      </c>
    </row>
    <row r="511" spans="1:2" x14ac:dyDescent="0.25">
      <c r="B511" s="18" t="s">
        <v>228</v>
      </c>
    </row>
    <row r="512" spans="1:2" x14ac:dyDescent="0.25">
      <c r="A512">
        <f>A508+1</f>
        <v>118</v>
      </c>
      <c r="B512" s="18" t="str">
        <f ca="1">"#define MPU_S_ENABLE_REG"&amp;A507&amp;"  "&amp;N(INDIRECT("CONFIG!A"&amp;A512))</f>
        <v>#define MPU_S_ENABLE_REG11  1</v>
      </c>
    </row>
    <row r="513" spans="1:2" x14ac:dyDescent="0.25">
      <c r="B513" s="18" t="s">
        <v>8</v>
      </c>
    </row>
    <row r="514" spans="1:2" x14ac:dyDescent="0.25">
      <c r="B514" s="18" t="s">
        <v>54</v>
      </c>
    </row>
    <row r="515" spans="1:2" x14ac:dyDescent="0.25">
      <c r="A515">
        <f>A508+2</f>
        <v>119</v>
      </c>
      <c r="B515" s="18" t="str" cm="1">
        <f t="array" aca="1" ref="B515" ca="1">"#define MPU_S_BASE_REG"&amp;A507&amp;"    0x"&amp;INDIRECT("CONFIG!A"&amp;A515)</f>
        <v>#define MPU_S_BASE_REG11    0x00000000</v>
      </c>
    </row>
    <row r="516" spans="1:2" x14ac:dyDescent="0.25">
      <c r="B516" s="18" t="s">
        <v>55</v>
      </c>
    </row>
    <row r="517" spans="1:2" x14ac:dyDescent="0.25">
      <c r="B517" s="18" t="s">
        <v>56</v>
      </c>
    </row>
    <row r="518" spans="1:2" x14ac:dyDescent="0.25">
      <c r="A518">
        <f>A508+3</f>
        <v>120</v>
      </c>
      <c r="B518" s="18" t="str">
        <f ca="1">"#define MPU_S_END_REG"&amp;A507&amp;"     0x"&amp;DEC2HEX(HEX2DEC(INDIRECT("CONFIG!A"&amp;A518))+1,8)</f>
        <v>#define MPU_S_END_REG11     0x00000020</v>
      </c>
    </row>
    <row r="519" spans="1:2" x14ac:dyDescent="0.25">
      <c r="B519" s="18" t="str">
        <f>"#define MPU_S_LIMIT_REG"&amp;A507&amp;"   (MPU_S_END_REG"&amp;A507&amp;" - 1u)"</f>
        <v>#define MPU_S_LIMIT_REG11   (MPU_S_END_REG11 - 1u)</v>
      </c>
    </row>
    <row r="520" spans="1:2" x14ac:dyDescent="0.25">
      <c r="B520" s="18" t="s">
        <v>9</v>
      </c>
    </row>
    <row r="521" spans="1:2" x14ac:dyDescent="0.25">
      <c r="B521" s="18" t="s">
        <v>57</v>
      </c>
    </row>
    <row r="522" spans="1:2" x14ac:dyDescent="0.25">
      <c r="B522" s="18" t="s">
        <v>58</v>
      </c>
    </row>
    <row r="523" spans="1:2" x14ac:dyDescent="0.25">
      <c r="B523" s="18" t="s">
        <v>59</v>
      </c>
    </row>
    <row r="524" spans="1:2" x14ac:dyDescent="0.25">
      <c r="B524" s="18" t="s">
        <v>60</v>
      </c>
    </row>
    <row r="525" spans="1:2" x14ac:dyDescent="0.25">
      <c r="A525">
        <f>A508+4</f>
        <v>121</v>
      </c>
      <c r="B525" s="18" t="str" cm="1">
        <f t="array" aca="1" ref="B525" ca="1">"#define MPU_S_PERM_REG"&amp;A507&amp;"    "&amp;INDIRECT("CONFIG!A"&amp;A525)-1</f>
        <v>#define MPU_S_PERM_REG11    0</v>
      </c>
    </row>
    <row r="526" spans="1:2" x14ac:dyDescent="0.25">
      <c r="B526" s="18" t="s">
        <v>10</v>
      </c>
    </row>
    <row r="527" spans="1:2" x14ac:dyDescent="0.25">
      <c r="A527">
        <f>A508+5</f>
        <v>122</v>
      </c>
      <c r="B527" s="18" t="str">
        <f ca="1">"#define MPU_S_XN_REG"&amp;A507&amp;"      "&amp;N(INDIRECT("CONFIG!A"&amp;A527))</f>
        <v>#define MPU_S_XN_REG11      0</v>
      </c>
    </row>
    <row r="528" spans="1:2" x14ac:dyDescent="0.25">
      <c r="B528" s="18" t="s">
        <v>61</v>
      </c>
    </row>
    <row r="529" spans="1:2" x14ac:dyDescent="0.25">
      <c r="A529">
        <f>A510+6</f>
        <v>123</v>
      </c>
      <c r="B529" s="18" t="str">
        <f ca="1">"#define MPU_S_PXN_REG"&amp;A507&amp;"     "&amp;N(INDIRECT("CONFIG!A"&amp;A529))</f>
        <v>#define MPU_S_PXN_REG11     0</v>
      </c>
    </row>
    <row r="530" spans="1:2" x14ac:dyDescent="0.25">
      <c r="B530" s="18" t="s">
        <v>69</v>
      </c>
    </row>
    <row r="531" spans="1:2" x14ac:dyDescent="0.25">
      <c r="B531" s="18" t="s">
        <v>11</v>
      </c>
    </row>
    <row r="532" spans="1:2" x14ac:dyDescent="0.25">
      <c r="B532" s="18" t="s">
        <v>70</v>
      </c>
    </row>
    <row r="533" spans="1:2" x14ac:dyDescent="0.25">
      <c r="B533" s="18" t="s">
        <v>71</v>
      </c>
    </row>
    <row r="534" spans="1:2" x14ac:dyDescent="0.25">
      <c r="B534" s="18" t="s">
        <v>72</v>
      </c>
    </row>
    <row r="535" spans="1:2" x14ac:dyDescent="0.25">
      <c r="A535">
        <f>A508+7</f>
        <v>124</v>
      </c>
      <c r="B535" s="18" t="str" cm="1">
        <f t="array" aca="1" ref="B535" ca="1">"#define MPU_S_SHARE_REG"&amp;A507&amp;"   "&amp;(INDIRECT("CONFIG!A"&amp;A535)-1)</f>
        <v>#define MPU_S_SHARE_REG11   0</v>
      </c>
    </row>
    <row r="536" spans="1:2" x14ac:dyDescent="0.25">
      <c r="B536" s="18" t="s">
        <v>62</v>
      </c>
    </row>
    <row r="537" spans="1:2" x14ac:dyDescent="0.25">
      <c r="B537" s="18" t="s">
        <v>75</v>
      </c>
    </row>
    <row r="538" spans="1:2" x14ac:dyDescent="0.25">
      <c r="B538" s="18" t="s">
        <v>76</v>
      </c>
    </row>
    <row r="539" spans="1:2" x14ac:dyDescent="0.25">
      <c r="B539" s="18" t="s">
        <v>77</v>
      </c>
    </row>
    <row r="540" spans="1:2" x14ac:dyDescent="0.25">
      <c r="B540" s="18" t="s">
        <v>78</v>
      </c>
    </row>
    <row r="541" spans="1:2" x14ac:dyDescent="0.25">
      <c r="B541" s="18" t="s">
        <v>79</v>
      </c>
    </row>
    <row r="542" spans="1:2" x14ac:dyDescent="0.25">
      <c r="B542" s="18" t="s">
        <v>80</v>
      </c>
    </row>
    <row r="543" spans="1:2" x14ac:dyDescent="0.25">
      <c r="B543" s="18" t="s">
        <v>81</v>
      </c>
    </row>
    <row r="544" spans="1:2" x14ac:dyDescent="0.25">
      <c r="B544" s="18" t="s">
        <v>82</v>
      </c>
    </row>
    <row r="545" spans="1:2" x14ac:dyDescent="0.25">
      <c r="A545">
        <f>A508+8</f>
        <v>125</v>
      </c>
      <c r="B545" s="18" t="str" cm="1">
        <f t="array" aca="1" ref="B545" ca="1">"#define MPU_S_ATTRIND"&amp;A507&amp;"     "&amp;INDIRECT("CONFIG!A"&amp;A545)-1</f>
        <v>#define MPU_S_ATTRIND11     0</v>
      </c>
    </row>
    <row r="546" spans="1:2" x14ac:dyDescent="0.25">
      <c r="B546" s="18" t="str">
        <f>"//   &lt;/e&gt;   //MPU_S Region "&amp;A507&amp;" ********************************"</f>
        <v>//   &lt;/e&gt;   //MPU_S Region 11 ********************************</v>
      </c>
    </row>
    <row r="547" spans="1:2" x14ac:dyDescent="0.25">
      <c r="B547" s="18" t="s">
        <v>138</v>
      </c>
    </row>
    <row r="548" spans="1:2" x14ac:dyDescent="0.25">
      <c r="A548" s="2">
        <f>A507+1</f>
        <v>12</v>
      </c>
      <c r="B548" s="18" t="str">
        <f>"// MPU_S Region "&amp;A548&amp;" ********************************"</f>
        <v>// MPU_S Region 12 ********************************</v>
      </c>
    </row>
    <row r="549" spans="1:2" x14ac:dyDescent="0.25">
      <c r="A549" s="2">
        <f>A508+10</f>
        <v>127</v>
      </c>
      <c r="B549" s="18" t="str">
        <f>"// &lt;e&gt;Configure MPU_S Region "&amp;A548</f>
        <v>// &lt;e&gt;Configure MPU_S Region 12</v>
      </c>
    </row>
    <row r="550" spans="1:2" x14ac:dyDescent="0.25">
      <c r="B550" s="18" t="s">
        <v>29</v>
      </c>
    </row>
    <row r="551" spans="1:2" x14ac:dyDescent="0.25">
      <c r="A551">
        <f>A549</f>
        <v>127</v>
      </c>
      <c r="B551" s="18" t="str">
        <f ca="1">"#define MPU_S_CONFIG_REG"&amp;A548&amp;"  "&amp;N(INDIRECT("CONFIG!A"&amp;A551))</f>
        <v>#define MPU_S_CONFIG_REG12  0</v>
      </c>
    </row>
    <row r="552" spans="1:2" x14ac:dyDescent="0.25">
      <c r="B552" s="18" t="s">
        <v>228</v>
      </c>
    </row>
    <row r="553" spans="1:2" x14ac:dyDescent="0.25">
      <c r="A553">
        <f>A549+1</f>
        <v>128</v>
      </c>
      <c r="B553" s="18" t="str">
        <f ca="1">"#define MPU_S_ENABLE_REG"&amp;A548&amp;"  "&amp;N(INDIRECT("CONFIG!A"&amp;A553))</f>
        <v>#define MPU_S_ENABLE_REG12  1</v>
      </c>
    </row>
    <row r="554" spans="1:2" x14ac:dyDescent="0.25">
      <c r="B554" s="18" t="s">
        <v>8</v>
      </c>
    </row>
    <row r="555" spans="1:2" x14ac:dyDescent="0.25">
      <c r="B555" s="18" t="s">
        <v>54</v>
      </c>
    </row>
    <row r="556" spans="1:2" x14ac:dyDescent="0.25">
      <c r="A556">
        <f>A549+2</f>
        <v>129</v>
      </c>
      <c r="B556" s="18" t="str" cm="1">
        <f t="array" aca="1" ref="B556" ca="1">"#define MPU_S_BASE_REG"&amp;A548&amp;"    0x"&amp;INDIRECT("CONFIG!A"&amp;A556)</f>
        <v>#define MPU_S_BASE_REG12    0x00000000</v>
      </c>
    </row>
    <row r="557" spans="1:2" x14ac:dyDescent="0.25">
      <c r="B557" s="18" t="s">
        <v>55</v>
      </c>
    </row>
    <row r="558" spans="1:2" x14ac:dyDescent="0.25">
      <c r="B558" s="18" t="s">
        <v>56</v>
      </c>
    </row>
    <row r="559" spans="1:2" x14ac:dyDescent="0.25">
      <c r="A559">
        <f>A549+3</f>
        <v>130</v>
      </c>
      <c r="B559" s="18" t="str">
        <f ca="1">"#define MPU_S_END_REG"&amp;A548&amp;"     0x"&amp;DEC2HEX(HEX2DEC(INDIRECT("CONFIG!A"&amp;A559))+1,8)</f>
        <v>#define MPU_S_END_REG12     0x00000020</v>
      </c>
    </row>
    <row r="560" spans="1:2" x14ac:dyDescent="0.25">
      <c r="B560" s="18" t="str">
        <f>"#define MPU_S_LIMIT_REG"&amp;A548&amp;"   (MPU_S_END_REG"&amp;A548&amp;" - 1u)"</f>
        <v>#define MPU_S_LIMIT_REG12   (MPU_S_END_REG12 - 1u)</v>
      </c>
    </row>
    <row r="561" spans="1:2" x14ac:dyDescent="0.25">
      <c r="B561" s="18" t="s">
        <v>9</v>
      </c>
    </row>
    <row r="562" spans="1:2" x14ac:dyDescent="0.25">
      <c r="B562" s="18" t="s">
        <v>57</v>
      </c>
    </row>
    <row r="563" spans="1:2" x14ac:dyDescent="0.25">
      <c r="B563" s="18" t="s">
        <v>58</v>
      </c>
    </row>
    <row r="564" spans="1:2" x14ac:dyDescent="0.25">
      <c r="B564" s="18" t="s">
        <v>59</v>
      </c>
    </row>
    <row r="565" spans="1:2" x14ac:dyDescent="0.25">
      <c r="B565" s="18" t="s">
        <v>60</v>
      </c>
    </row>
    <row r="566" spans="1:2" x14ac:dyDescent="0.25">
      <c r="A566">
        <f>A549+4</f>
        <v>131</v>
      </c>
      <c r="B566" s="18" t="str" cm="1">
        <f t="array" aca="1" ref="B566" ca="1">"#define MPU_S_PERM_REG"&amp;A548&amp;"    "&amp;INDIRECT("CONFIG!A"&amp;A566)-1</f>
        <v>#define MPU_S_PERM_REG12    0</v>
      </c>
    </row>
    <row r="567" spans="1:2" x14ac:dyDescent="0.25">
      <c r="B567" s="18" t="s">
        <v>10</v>
      </c>
    </row>
    <row r="568" spans="1:2" x14ac:dyDescent="0.25">
      <c r="A568">
        <f>A549+5</f>
        <v>132</v>
      </c>
      <c r="B568" s="18" t="str">
        <f ca="1">"#define MPU_S_XN_REG"&amp;A548&amp;"      "&amp;N(INDIRECT("CONFIG!A"&amp;A568))</f>
        <v>#define MPU_S_XN_REG12      0</v>
      </c>
    </row>
    <row r="569" spans="1:2" x14ac:dyDescent="0.25">
      <c r="B569" s="18" t="s">
        <v>61</v>
      </c>
    </row>
    <row r="570" spans="1:2" x14ac:dyDescent="0.25">
      <c r="A570">
        <f>A551+6</f>
        <v>133</v>
      </c>
      <c r="B570" s="18" t="str">
        <f ca="1">"#define MPU_S_PXN_REG"&amp;A548&amp;"     "&amp;N(INDIRECT("CONFIG!A"&amp;A570))</f>
        <v>#define MPU_S_PXN_REG12     0</v>
      </c>
    </row>
    <row r="571" spans="1:2" x14ac:dyDescent="0.25">
      <c r="B571" s="18" t="s">
        <v>69</v>
      </c>
    </row>
    <row r="572" spans="1:2" x14ac:dyDescent="0.25">
      <c r="B572" s="18" t="s">
        <v>11</v>
      </c>
    </row>
    <row r="573" spans="1:2" x14ac:dyDescent="0.25">
      <c r="B573" s="18" t="s">
        <v>70</v>
      </c>
    </row>
    <row r="574" spans="1:2" x14ac:dyDescent="0.25">
      <c r="B574" s="18" t="s">
        <v>71</v>
      </c>
    </row>
    <row r="575" spans="1:2" x14ac:dyDescent="0.25">
      <c r="B575" s="18" t="s">
        <v>72</v>
      </c>
    </row>
    <row r="576" spans="1:2" x14ac:dyDescent="0.25">
      <c r="A576">
        <f>A549+7</f>
        <v>134</v>
      </c>
      <c r="B576" s="18" t="str" cm="1">
        <f t="array" aca="1" ref="B576" ca="1">"#define MPU_S_SHARE_REG"&amp;A548&amp;"   "&amp;(INDIRECT("CONFIG!A"&amp;A576)-1)</f>
        <v>#define MPU_S_SHARE_REG12   0</v>
      </c>
    </row>
    <row r="577" spans="1:2" x14ac:dyDescent="0.25">
      <c r="B577" s="18" t="s">
        <v>62</v>
      </c>
    </row>
    <row r="578" spans="1:2" x14ac:dyDescent="0.25">
      <c r="B578" s="18" t="s">
        <v>75</v>
      </c>
    </row>
    <row r="579" spans="1:2" x14ac:dyDescent="0.25">
      <c r="B579" s="18" t="s">
        <v>76</v>
      </c>
    </row>
    <row r="580" spans="1:2" x14ac:dyDescent="0.25">
      <c r="B580" s="18" t="s">
        <v>77</v>
      </c>
    </row>
    <row r="581" spans="1:2" x14ac:dyDescent="0.25">
      <c r="B581" s="18" t="s">
        <v>78</v>
      </c>
    </row>
    <row r="582" spans="1:2" x14ac:dyDescent="0.25">
      <c r="B582" s="18" t="s">
        <v>79</v>
      </c>
    </row>
    <row r="583" spans="1:2" x14ac:dyDescent="0.25">
      <c r="B583" s="18" t="s">
        <v>80</v>
      </c>
    </row>
    <row r="584" spans="1:2" x14ac:dyDescent="0.25">
      <c r="B584" s="18" t="s">
        <v>81</v>
      </c>
    </row>
    <row r="585" spans="1:2" x14ac:dyDescent="0.25">
      <c r="B585" s="18" t="s">
        <v>82</v>
      </c>
    </row>
    <row r="586" spans="1:2" x14ac:dyDescent="0.25">
      <c r="A586">
        <f>A549+8</f>
        <v>135</v>
      </c>
      <c r="B586" s="18" t="str" cm="1">
        <f t="array" aca="1" ref="B586" ca="1">"#define MPU_S_ATTRIND"&amp;A548&amp;"     "&amp;INDIRECT("CONFIG!A"&amp;A586)-1</f>
        <v>#define MPU_S_ATTRIND12     0</v>
      </c>
    </row>
    <row r="587" spans="1:2" x14ac:dyDescent="0.25">
      <c r="B587" s="18" t="str">
        <f>"//   &lt;/e&gt;   //MPU_S Region "&amp;A548&amp;" ********************************"</f>
        <v>//   &lt;/e&gt;   //MPU_S Region 12 ********************************</v>
      </c>
    </row>
    <row r="588" spans="1:2" x14ac:dyDescent="0.25">
      <c r="B588" s="18" t="s">
        <v>138</v>
      </c>
    </row>
    <row r="589" spans="1:2" x14ac:dyDescent="0.25">
      <c r="A589" s="2">
        <f>A548+1</f>
        <v>13</v>
      </c>
      <c r="B589" s="18" t="str">
        <f>"// MPU_S Region "&amp;A589&amp;" ********************************"</f>
        <v>// MPU_S Region 13 ********************************</v>
      </c>
    </row>
    <row r="590" spans="1:2" x14ac:dyDescent="0.25">
      <c r="A590" s="2">
        <f>A549+10</f>
        <v>137</v>
      </c>
      <c r="B590" s="18" t="str">
        <f>"// &lt;e&gt;Configure MPU_S Region "&amp;A589</f>
        <v>// &lt;e&gt;Configure MPU_S Region 13</v>
      </c>
    </row>
    <row r="591" spans="1:2" x14ac:dyDescent="0.25">
      <c r="B591" s="18" t="s">
        <v>29</v>
      </c>
    </row>
    <row r="592" spans="1:2" x14ac:dyDescent="0.25">
      <c r="A592">
        <f>A590</f>
        <v>137</v>
      </c>
      <c r="B592" s="18" t="str">
        <f ca="1">"#define MPU_S_CONFIG_REG"&amp;A589&amp;"  "&amp;N(INDIRECT("CONFIG!A"&amp;A592))</f>
        <v>#define MPU_S_CONFIG_REG13  0</v>
      </c>
    </row>
    <row r="593" spans="1:2" x14ac:dyDescent="0.25">
      <c r="B593" s="18" t="s">
        <v>228</v>
      </c>
    </row>
    <row r="594" spans="1:2" x14ac:dyDescent="0.25">
      <c r="A594">
        <f>A590+1</f>
        <v>138</v>
      </c>
      <c r="B594" s="18" t="str">
        <f ca="1">"#define MPU_S_ENABLE_REG"&amp;A589&amp;"  "&amp;N(INDIRECT("CONFIG!A"&amp;A594))</f>
        <v>#define MPU_S_ENABLE_REG13  1</v>
      </c>
    </row>
    <row r="595" spans="1:2" x14ac:dyDescent="0.25">
      <c r="B595" s="18" t="s">
        <v>8</v>
      </c>
    </row>
    <row r="596" spans="1:2" x14ac:dyDescent="0.25">
      <c r="B596" s="18" t="s">
        <v>54</v>
      </c>
    </row>
    <row r="597" spans="1:2" x14ac:dyDescent="0.25">
      <c r="A597">
        <f>A590+2</f>
        <v>139</v>
      </c>
      <c r="B597" s="18" t="str" cm="1">
        <f t="array" aca="1" ref="B597" ca="1">"#define MPU_S_BASE_REG"&amp;A589&amp;"    0x"&amp;INDIRECT("CONFIG!A"&amp;A597)</f>
        <v>#define MPU_S_BASE_REG13    0x00000000</v>
      </c>
    </row>
    <row r="598" spans="1:2" x14ac:dyDescent="0.25">
      <c r="B598" s="18" t="s">
        <v>55</v>
      </c>
    </row>
    <row r="599" spans="1:2" x14ac:dyDescent="0.25">
      <c r="B599" s="18" t="s">
        <v>56</v>
      </c>
    </row>
    <row r="600" spans="1:2" x14ac:dyDescent="0.25">
      <c r="A600">
        <f>A590+3</f>
        <v>140</v>
      </c>
      <c r="B600" s="18" t="str">
        <f ca="1">"#define MPU_S_END_REG"&amp;A589&amp;"     0x"&amp;DEC2HEX(HEX2DEC(INDIRECT("CONFIG!A"&amp;A600))+1,8)</f>
        <v>#define MPU_S_END_REG13     0x00000020</v>
      </c>
    </row>
    <row r="601" spans="1:2" x14ac:dyDescent="0.25">
      <c r="B601" s="18" t="str">
        <f>"#define MPU_S_LIMIT_REG"&amp;A589&amp;"   (MPU_S_END_REG"&amp;A589&amp;" - 1u)"</f>
        <v>#define MPU_S_LIMIT_REG13   (MPU_S_END_REG13 - 1u)</v>
      </c>
    </row>
    <row r="602" spans="1:2" x14ac:dyDescent="0.25">
      <c r="B602" s="18" t="s">
        <v>9</v>
      </c>
    </row>
    <row r="603" spans="1:2" x14ac:dyDescent="0.25">
      <c r="B603" s="18" t="s">
        <v>57</v>
      </c>
    </row>
    <row r="604" spans="1:2" x14ac:dyDescent="0.25">
      <c r="B604" s="18" t="s">
        <v>58</v>
      </c>
    </row>
    <row r="605" spans="1:2" x14ac:dyDescent="0.25">
      <c r="B605" s="18" t="s">
        <v>59</v>
      </c>
    </row>
    <row r="606" spans="1:2" x14ac:dyDescent="0.25">
      <c r="B606" s="18" t="s">
        <v>60</v>
      </c>
    </row>
    <row r="607" spans="1:2" x14ac:dyDescent="0.25">
      <c r="A607">
        <f>A590+4</f>
        <v>141</v>
      </c>
      <c r="B607" s="18" t="str" cm="1">
        <f t="array" aca="1" ref="B607" ca="1">"#define MPU_S_PERM_REG"&amp;A589&amp;"    "&amp;INDIRECT("CONFIG!A"&amp;A607)-1</f>
        <v>#define MPU_S_PERM_REG13    0</v>
      </c>
    </row>
    <row r="608" spans="1:2" x14ac:dyDescent="0.25">
      <c r="B608" s="18" t="s">
        <v>10</v>
      </c>
    </row>
    <row r="609" spans="1:2" x14ac:dyDescent="0.25">
      <c r="A609">
        <f>A590+5</f>
        <v>142</v>
      </c>
      <c r="B609" s="18" t="str">
        <f ca="1">"#define MPU_S_XN_REG"&amp;A589&amp;"      "&amp;N(INDIRECT("CONFIG!A"&amp;A609))</f>
        <v>#define MPU_S_XN_REG13      0</v>
      </c>
    </row>
    <row r="610" spans="1:2" x14ac:dyDescent="0.25">
      <c r="B610" s="18" t="s">
        <v>61</v>
      </c>
    </row>
    <row r="611" spans="1:2" x14ac:dyDescent="0.25">
      <c r="A611">
        <f>A592+6</f>
        <v>143</v>
      </c>
      <c r="B611" s="18" t="str">
        <f ca="1">"#define MPU_S_PXN_REG"&amp;A589&amp;"     "&amp;N(INDIRECT("CONFIG!A"&amp;A611))</f>
        <v>#define MPU_S_PXN_REG13     0</v>
      </c>
    </row>
    <row r="612" spans="1:2" x14ac:dyDescent="0.25">
      <c r="B612" s="18" t="s">
        <v>69</v>
      </c>
    </row>
    <row r="613" spans="1:2" x14ac:dyDescent="0.25">
      <c r="B613" s="18" t="s">
        <v>11</v>
      </c>
    </row>
    <row r="614" spans="1:2" x14ac:dyDescent="0.25">
      <c r="B614" s="18" t="s">
        <v>70</v>
      </c>
    </row>
    <row r="615" spans="1:2" x14ac:dyDescent="0.25">
      <c r="B615" s="18" t="s">
        <v>71</v>
      </c>
    </row>
    <row r="616" spans="1:2" x14ac:dyDescent="0.25">
      <c r="B616" s="18" t="s">
        <v>72</v>
      </c>
    </row>
    <row r="617" spans="1:2" x14ac:dyDescent="0.25">
      <c r="A617">
        <f>A590+7</f>
        <v>144</v>
      </c>
      <c r="B617" s="18" t="str" cm="1">
        <f t="array" aca="1" ref="B617" ca="1">"#define MPU_S_SHARE_REG"&amp;A589&amp;"   "&amp;(INDIRECT("CONFIG!A"&amp;A617)-1)</f>
        <v>#define MPU_S_SHARE_REG13   0</v>
      </c>
    </row>
    <row r="618" spans="1:2" x14ac:dyDescent="0.25">
      <c r="B618" s="18" t="s">
        <v>62</v>
      </c>
    </row>
    <row r="619" spans="1:2" x14ac:dyDescent="0.25">
      <c r="B619" s="18" t="s">
        <v>75</v>
      </c>
    </row>
    <row r="620" spans="1:2" x14ac:dyDescent="0.25">
      <c r="B620" s="18" t="s">
        <v>76</v>
      </c>
    </row>
    <row r="621" spans="1:2" x14ac:dyDescent="0.25">
      <c r="B621" s="18" t="s">
        <v>77</v>
      </c>
    </row>
    <row r="622" spans="1:2" x14ac:dyDescent="0.25">
      <c r="B622" s="18" t="s">
        <v>78</v>
      </c>
    </row>
    <row r="623" spans="1:2" x14ac:dyDescent="0.25">
      <c r="B623" s="18" t="s">
        <v>79</v>
      </c>
    </row>
    <row r="624" spans="1:2" x14ac:dyDescent="0.25">
      <c r="B624" s="18" t="s">
        <v>80</v>
      </c>
    </row>
    <row r="625" spans="1:2" x14ac:dyDescent="0.25">
      <c r="B625" s="18" t="s">
        <v>81</v>
      </c>
    </row>
    <row r="626" spans="1:2" x14ac:dyDescent="0.25">
      <c r="B626" s="18" t="s">
        <v>82</v>
      </c>
    </row>
    <row r="627" spans="1:2" x14ac:dyDescent="0.25">
      <c r="A627">
        <f>A590+8</f>
        <v>145</v>
      </c>
      <c r="B627" s="18" t="str" cm="1">
        <f t="array" aca="1" ref="B627" ca="1">"#define MPU_S_ATTRIND"&amp;A589&amp;"     "&amp;INDIRECT("CONFIG!A"&amp;A627)-1</f>
        <v>#define MPU_S_ATTRIND13     0</v>
      </c>
    </row>
    <row r="628" spans="1:2" x14ac:dyDescent="0.25">
      <c r="B628" s="18" t="str">
        <f>"//   &lt;/e&gt;   //MPU_S Region "&amp;A589&amp;" ********************************"</f>
        <v>//   &lt;/e&gt;   //MPU_S Region 13 ********************************</v>
      </c>
    </row>
    <row r="629" spans="1:2" x14ac:dyDescent="0.25">
      <c r="B629" s="18" t="s">
        <v>138</v>
      </c>
    </row>
    <row r="630" spans="1:2" x14ac:dyDescent="0.25">
      <c r="A630" s="2">
        <f>A589+1</f>
        <v>14</v>
      </c>
      <c r="B630" s="18" t="str">
        <f>"// MPU_S Region "&amp;A630&amp;" ********************************"</f>
        <v>// MPU_S Region 14 ********************************</v>
      </c>
    </row>
    <row r="631" spans="1:2" x14ac:dyDescent="0.25">
      <c r="A631" s="2">
        <f>A590+10</f>
        <v>147</v>
      </c>
      <c r="B631" s="18" t="str">
        <f>"// &lt;e&gt;Configure MPU_S Region "&amp;A630</f>
        <v>// &lt;e&gt;Configure MPU_S Region 14</v>
      </c>
    </row>
    <row r="632" spans="1:2" x14ac:dyDescent="0.25">
      <c r="B632" s="18" t="s">
        <v>29</v>
      </c>
    </row>
    <row r="633" spans="1:2" x14ac:dyDescent="0.25">
      <c r="A633">
        <f>A631</f>
        <v>147</v>
      </c>
      <c r="B633" s="18" t="str">
        <f ca="1">"#define MPU_S_CONFIG_REG"&amp;A630&amp;"  "&amp;N(INDIRECT("CONFIG!A"&amp;A633))</f>
        <v>#define MPU_S_CONFIG_REG14  0</v>
      </c>
    </row>
    <row r="634" spans="1:2" x14ac:dyDescent="0.25">
      <c r="B634" s="18" t="s">
        <v>228</v>
      </c>
    </row>
    <row r="635" spans="1:2" x14ac:dyDescent="0.25">
      <c r="A635">
        <f>A631+1</f>
        <v>148</v>
      </c>
      <c r="B635" s="18" t="str">
        <f ca="1">"#define MPU_S_ENABLE_REG"&amp;A630&amp;"  "&amp;N(INDIRECT("CONFIG!A"&amp;A635))</f>
        <v>#define MPU_S_ENABLE_REG14  1</v>
      </c>
    </row>
    <row r="636" spans="1:2" x14ac:dyDescent="0.25">
      <c r="B636" s="18" t="s">
        <v>8</v>
      </c>
    </row>
    <row r="637" spans="1:2" x14ac:dyDescent="0.25">
      <c r="B637" s="18" t="s">
        <v>54</v>
      </c>
    </row>
    <row r="638" spans="1:2" x14ac:dyDescent="0.25">
      <c r="A638">
        <f>A631+2</f>
        <v>149</v>
      </c>
      <c r="B638" s="18" t="str" cm="1">
        <f t="array" aca="1" ref="B638" ca="1">"#define MPU_S_BASE_REG"&amp;A630&amp;"    0x"&amp;INDIRECT("CONFIG!A"&amp;A638)</f>
        <v>#define MPU_S_BASE_REG14    0x00000000</v>
      </c>
    </row>
    <row r="639" spans="1:2" x14ac:dyDescent="0.25">
      <c r="B639" s="18" t="s">
        <v>55</v>
      </c>
    </row>
    <row r="640" spans="1:2" x14ac:dyDescent="0.25">
      <c r="B640" s="18" t="s">
        <v>56</v>
      </c>
    </row>
    <row r="641" spans="1:2" x14ac:dyDescent="0.25">
      <c r="A641">
        <f>A631+3</f>
        <v>150</v>
      </c>
      <c r="B641" s="18" t="str">
        <f ca="1">"#define MPU_S_END_REG"&amp;A630&amp;"     0x"&amp;DEC2HEX(HEX2DEC(INDIRECT("CONFIG!A"&amp;A641))+1,8)</f>
        <v>#define MPU_S_END_REG14     0x00000020</v>
      </c>
    </row>
    <row r="642" spans="1:2" x14ac:dyDescent="0.25">
      <c r="B642" s="18" t="str">
        <f>"#define MPU_S_LIMIT_REG"&amp;A630&amp;"   (MPU_S_END_REG"&amp;A630&amp;" - 1u)"</f>
        <v>#define MPU_S_LIMIT_REG14   (MPU_S_END_REG14 - 1u)</v>
      </c>
    </row>
    <row r="643" spans="1:2" x14ac:dyDescent="0.25">
      <c r="B643" s="18" t="s">
        <v>9</v>
      </c>
    </row>
    <row r="644" spans="1:2" x14ac:dyDescent="0.25">
      <c r="B644" s="18" t="s">
        <v>57</v>
      </c>
    </row>
    <row r="645" spans="1:2" x14ac:dyDescent="0.25">
      <c r="B645" s="18" t="s">
        <v>58</v>
      </c>
    </row>
    <row r="646" spans="1:2" x14ac:dyDescent="0.25">
      <c r="B646" s="18" t="s">
        <v>59</v>
      </c>
    </row>
    <row r="647" spans="1:2" x14ac:dyDescent="0.25">
      <c r="B647" s="18" t="s">
        <v>60</v>
      </c>
    </row>
    <row r="648" spans="1:2" x14ac:dyDescent="0.25">
      <c r="A648">
        <f>A631+4</f>
        <v>151</v>
      </c>
      <c r="B648" s="18" t="str" cm="1">
        <f t="array" aca="1" ref="B648" ca="1">"#define MPU_S_PERM_REG"&amp;A630&amp;"    "&amp;INDIRECT("CONFIG!A"&amp;A648)-1</f>
        <v>#define MPU_S_PERM_REG14    0</v>
      </c>
    </row>
    <row r="649" spans="1:2" x14ac:dyDescent="0.25">
      <c r="B649" s="18" t="s">
        <v>10</v>
      </c>
    </row>
    <row r="650" spans="1:2" x14ac:dyDescent="0.25">
      <c r="A650">
        <f>A631+5</f>
        <v>152</v>
      </c>
      <c r="B650" s="18" t="str">
        <f ca="1">"#define MPU_S_XN_REG"&amp;A630&amp;"      "&amp;N(INDIRECT("CONFIG!A"&amp;A650))</f>
        <v>#define MPU_S_XN_REG14      0</v>
      </c>
    </row>
    <row r="651" spans="1:2" x14ac:dyDescent="0.25">
      <c r="B651" s="18" t="s">
        <v>61</v>
      </c>
    </row>
    <row r="652" spans="1:2" x14ac:dyDescent="0.25">
      <c r="A652">
        <f>A633+6</f>
        <v>153</v>
      </c>
      <c r="B652" s="18" t="str">
        <f ca="1">"#define MPU_S_PXN_REG"&amp;A630&amp;"     "&amp;N(INDIRECT("CONFIG!A"&amp;A652))</f>
        <v>#define MPU_S_PXN_REG14     0</v>
      </c>
    </row>
    <row r="653" spans="1:2" x14ac:dyDescent="0.25">
      <c r="B653" s="18" t="s">
        <v>69</v>
      </c>
    </row>
    <row r="654" spans="1:2" x14ac:dyDescent="0.25">
      <c r="B654" s="18" t="s">
        <v>11</v>
      </c>
    </row>
    <row r="655" spans="1:2" x14ac:dyDescent="0.25">
      <c r="B655" s="18" t="s">
        <v>70</v>
      </c>
    </row>
    <row r="656" spans="1:2" x14ac:dyDescent="0.25">
      <c r="B656" s="18" t="s">
        <v>71</v>
      </c>
    </row>
    <row r="657" spans="1:2" x14ac:dyDescent="0.25">
      <c r="B657" s="18" t="s">
        <v>72</v>
      </c>
    </row>
    <row r="658" spans="1:2" x14ac:dyDescent="0.25">
      <c r="A658">
        <f>A631+7</f>
        <v>154</v>
      </c>
      <c r="B658" s="18" t="str" cm="1">
        <f t="array" aca="1" ref="B658" ca="1">"#define MPU_S_SHARE_REG"&amp;A630&amp;"   "&amp;(INDIRECT("CONFIG!A"&amp;A658)-1)</f>
        <v>#define MPU_S_SHARE_REG14   0</v>
      </c>
    </row>
    <row r="659" spans="1:2" x14ac:dyDescent="0.25">
      <c r="B659" s="18" t="s">
        <v>62</v>
      </c>
    </row>
    <row r="660" spans="1:2" x14ac:dyDescent="0.25">
      <c r="B660" s="18" t="s">
        <v>75</v>
      </c>
    </row>
    <row r="661" spans="1:2" x14ac:dyDescent="0.25">
      <c r="B661" s="18" t="s">
        <v>76</v>
      </c>
    </row>
    <row r="662" spans="1:2" x14ac:dyDescent="0.25">
      <c r="B662" s="18" t="s">
        <v>77</v>
      </c>
    </row>
    <row r="663" spans="1:2" x14ac:dyDescent="0.25">
      <c r="B663" s="18" t="s">
        <v>78</v>
      </c>
    </row>
    <row r="664" spans="1:2" x14ac:dyDescent="0.25">
      <c r="B664" s="18" t="s">
        <v>79</v>
      </c>
    </row>
    <row r="665" spans="1:2" x14ac:dyDescent="0.25">
      <c r="B665" s="18" t="s">
        <v>80</v>
      </c>
    </row>
    <row r="666" spans="1:2" x14ac:dyDescent="0.25">
      <c r="B666" s="18" t="s">
        <v>81</v>
      </c>
    </row>
    <row r="667" spans="1:2" x14ac:dyDescent="0.25">
      <c r="B667" s="18" t="s">
        <v>82</v>
      </c>
    </row>
    <row r="668" spans="1:2" x14ac:dyDescent="0.25">
      <c r="A668">
        <f>A631+8</f>
        <v>155</v>
      </c>
      <c r="B668" s="18" t="str" cm="1">
        <f t="array" aca="1" ref="B668" ca="1">"#define MPU_S_ATTRIND"&amp;A630&amp;"     "&amp;INDIRECT("CONFIG!A"&amp;A668)-1</f>
        <v>#define MPU_S_ATTRIND14     1</v>
      </c>
    </row>
    <row r="669" spans="1:2" x14ac:dyDescent="0.25">
      <c r="B669" s="18" t="str">
        <f>"//   &lt;/e&gt;   //MPU_S Region "&amp;A630&amp;" ********************************"</f>
        <v>//   &lt;/e&gt;   //MPU_S Region 14 ********************************</v>
      </c>
    </row>
    <row r="670" spans="1:2" x14ac:dyDescent="0.25">
      <c r="B670" s="18" t="s">
        <v>138</v>
      </c>
    </row>
    <row r="671" spans="1:2" x14ac:dyDescent="0.25">
      <c r="A671" s="2">
        <f>A630+1</f>
        <v>15</v>
      </c>
      <c r="B671" s="18" t="str">
        <f>"// MPU_S Region "&amp;A671&amp;" ********************************"</f>
        <v>// MPU_S Region 15 ********************************</v>
      </c>
    </row>
    <row r="672" spans="1:2" x14ac:dyDescent="0.25">
      <c r="A672" s="2">
        <f>A631+10</f>
        <v>157</v>
      </c>
      <c r="B672" s="18" t="str">
        <f>"// &lt;e&gt;Configure MPU_S Region "&amp;A671</f>
        <v>// &lt;e&gt;Configure MPU_S Region 15</v>
      </c>
    </row>
    <row r="673" spans="1:2" x14ac:dyDescent="0.25">
      <c r="B673" s="18" t="s">
        <v>29</v>
      </c>
    </row>
    <row r="674" spans="1:2" x14ac:dyDescent="0.25">
      <c r="A674">
        <f>A672</f>
        <v>157</v>
      </c>
      <c r="B674" s="18" t="str">
        <f ca="1">"#define MPU_S_CONFIG_REG"&amp;A671&amp;"  "&amp;N(INDIRECT("CONFIG!A"&amp;A674))</f>
        <v>#define MPU_S_CONFIG_REG15  0</v>
      </c>
    </row>
    <row r="675" spans="1:2" x14ac:dyDescent="0.25">
      <c r="B675" s="18" t="s">
        <v>228</v>
      </c>
    </row>
    <row r="676" spans="1:2" x14ac:dyDescent="0.25">
      <c r="A676">
        <f>A672+1</f>
        <v>158</v>
      </c>
      <c r="B676" s="18" t="str">
        <f ca="1">"#define MPU_S_ENABLE_REG"&amp;A671&amp;"  "&amp;N(INDIRECT("CONFIG!A"&amp;A676))</f>
        <v>#define MPU_S_ENABLE_REG15  1</v>
      </c>
    </row>
    <row r="677" spans="1:2" x14ac:dyDescent="0.25">
      <c r="B677" s="18" t="s">
        <v>8</v>
      </c>
    </row>
    <row r="678" spans="1:2" x14ac:dyDescent="0.25">
      <c r="B678" s="18" t="s">
        <v>54</v>
      </c>
    </row>
    <row r="679" spans="1:2" x14ac:dyDescent="0.25">
      <c r="A679">
        <f>A672+2</f>
        <v>159</v>
      </c>
      <c r="B679" s="18" t="str" cm="1">
        <f t="array" aca="1" ref="B679" ca="1">"#define MPU_S_BASE_REG"&amp;A671&amp;"    0x"&amp;INDIRECT("CONFIG!A"&amp;A679)</f>
        <v>#define MPU_S_BASE_REG15    0x00000000</v>
      </c>
    </row>
    <row r="680" spans="1:2" x14ac:dyDescent="0.25">
      <c r="B680" s="18" t="s">
        <v>55</v>
      </c>
    </row>
    <row r="681" spans="1:2" x14ac:dyDescent="0.25">
      <c r="B681" s="18" t="s">
        <v>56</v>
      </c>
    </row>
    <row r="682" spans="1:2" x14ac:dyDescent="0.25">
      <c r="A682">
        <f>A672+3</f>
        <v>160</v>
      </c>
      <c r="B682" s="18" t="str">
        <f ca="1">"#define MPU_S_END_REG"&amp;A671&amp;"     0x"&amp;DEC2HEX(HEX2DEC(INDIRECT("CONFIG!A"&amp;A682))+1,8)</f>
        <v>#define MPU_S_END_REG15     0x00000020</v>
      </c>
    </row>
    <row r="683" spans="1:2" x14ac:dyDescent="0.25">
      <c r="B683" s="18" t="str">
        <f>"#define MPU_S_LIMIT_REG"&amp;A671&amp;"   (MPU_S_END_REG"&amp;A671&amp;" - 1u)"</f>
        <v>#define MPU_S_LIMIT_REG15   (MPU_S_END_REG15 - 1u)</v>
      </c>
    </row>
    <row r="684" spans="1:2" x14ac:dyDescent="0.25">
      <c r="B684" s="18" t="s">
        <v>9</v>
      </c>
    </row>
    <row r="685" spans="1:2" x14ac:dyDescent="0.25">
      <c r="B685" s="18" t="s">
        <v>57</v>
      </c>
    </row>
    <row r="686" spans="1:2" x14ac:dyDescent="0.25">
      <c r="B686" s="18" t="s">
        <v>58</v>
      </c>
    </row>
    <row r="687" spans="1:2" x14ac:dyDescent="0.25">
      <c r="B687" s="18" t="s">
        <v>59</v>
      </c>
    </row>
    <row r="688" spans="1:2" x14ac:dyDescent="0.25">
      <c r="B688" s="18" t="s">
        <v>60</v>
      </c>
    </row>
    <row r="689" spans="1:2" x14ac:dyDescent="0.25">
      <c r="A689">
        <f>A672+4</f>
        <v>161</v>
      </c>
      <c r="B689" s="18" t="str" cm="1">
        <f t="array" aca="1" ref="B689" ca="1">"#define MPU_S_PERM_REG"&amp;A671&amp;"    "&amp;INDIRECT("CONFIG!A"&amp;A689)-1</f>
        <v>#define MPU_S_PERM_REG15    0</v>
      </c>
    </row>
    <row r="690" spans="1:2" x14ac:dyDescent="0.25">
      <c r="B690" s="18" t="s">
        <v>10</v>
      </c>
    </row>
    <row r="691" spans="1:2" x14ac:dyDescent="0.25">
      <c r="A691">
        <f>A672+5</f>
        <v>162</v>
      </c>
      <c r="B691" s="18" t="str">
        <f ca="1">"#define MPU_S_XN_REG"&amp;A671&amp;"      "&amp;N(INDIRECT("CONFIG!A"&amp;A691))</f>
        <v>#define MPU_S_XN_REG15      0</v>
      </c>
    </row>
    <row r="692" spans="1:2" x14ac:dyDescent="0.25">
      <c r="B692" s="18" t="s">
        <v>61</v>
      </c>
    </row>
    <row r="693" spans="1:2" x14ac:dyDescent="0.25">
      <c r="A693">
        <f>A674+6</f>
        <v>163</v>
      </c>
      <c r="B693" s="18" t="str">
        <f ca="1">"#define MPU_S_PXN_REG"&amp;A671&amp;"     "&amp;N(INDIRECT("CONFIG!A"&amp;A693))</f>
        <v>#define MPU_S_PXN_REG15     0</v>
      </c>
    </row>
    <row r="694" spans="1:2" x14ac:dyDescent="0.25">
      <c r="B694" s="18" t="s">
        <v>69</v>
      </c>
    </row>
    <row r="695" spans="1:2" x14ac:dyDescent="0.25">
      <c r="B695" s="18" t="s">
        <v>11</v>
      </c>
    </row>
    <row r="696" spans="1:2" x14ac:dyDescent="0.25">
      <c r="B696" s="18" t="s">
        <v>70</v>
      </c>
    </row>
    <row r="697" spans="1:2" x14ac:dyDescent="0.25">
      <c r="B697" s="18" t="s">
        <v>71</v>
      </c>
    </row>
    <row r="698" spans="1:2" x14ac:dyDescent="0.25">
      <c r="B698" s="18" t="s">
        <v>72</v>
      </c>
    </row>
    <row r="699" spans="1:2" x14ac:dyDescent="0.25">
      <c r="A699">
        <f>A672+7</f>
        <v>164</v>
      </c>
      <c r="B699" s="18" t="str" cm="1">
        <f t="array" aca="1" ref="B699" ca="1">"#define MPU_S_SHARE_REG"&amp;A671&amp;"   "&amp;(INDIRECT("CONFIG!A"&amp;A699)-1)</f>
        <v>#define MPU_S_SHARE_REG15   0</v>
      </c>
    </row>
    <row r="700" spans="1:2" x14ac:dyDescent="0.25">
      <c r="B700" s="18" t="s">
        <v>62</v>
      </c>
    </row>
    <row r="701" spans="1:2" x14ac:dyDescent="0.25">
      <c r="B701" s="18" t="s">
        <v>75</v>
      </c>
    </row>
    <row r="702" spans="1:2" x14ac:dyDescent="0.25">
      <c r="B702" s="18" t="s">
        <v>76</v>
      </c>
    </row>
    <row r="703" spans="1:2" x14ac:dyDescent="0.25">
      <c r="B703" s="18" t="s">
        <v>77</v>
      </c>
    </row>
    <row r="704" spans="1:2" x14ac:dyDescent="0.25">
      <c r="B704" s="18" t="s">
        <v>78</v>
      </c>
    </row>
    <row r="705" spans="1:2" x14ac:dyDescent="0.25">
      <c r="B705" s="18" t="s">
        <v>79</v>
      </c>
    </row>
    <row r="706" spans="1:2" x14ac:dyDescent="0.25">
      <c r="B706" s="18" t="s">
        <v>80</v>
      </c>
    </row>
    <row r="707" spans="1:2" x14ac:dyDescent="0.25">
      <c r="B707" s="18" t="s">
        <v>81</v>
      </c>
    </row>
    <row r="708" spans="1:2" x14ac:dyDescent="0.25">
      <c r="B708" s="18" t="s">
        <v>82</v>
      </c>
    </row>
    <row r="709" spans="1:2" x14ac:dyDescent="0.25">
      <c r="A709">
        <f>A672+8</f>
        <v>165</v>
      </c>
      <c r="B709" s="18" t="str" cm="1">
        <f t="array" aca="1" ref="B709" ca="1">"#define MPU_S_ATTRIND"&amp;A671&amp;"     "&amp;INDIRECT("CONFIG!A"&amp;A709)-1</f>
        <v>#define MPU_S_ATTRIND15     1</v>
      </c>
    </row>
    <row r="710" spans="1:2" x14ac:dyDescent="0.25">
      <c r="B710" s="18" t="str">
        <f>"//   &lt;/e&gt;   //MPU_S Region "&amp;A671&amp;" ********************************"</f>
        <v>//   &lt;/e&gt;   //MPU_S Region 15 ********************************</v>
      </c>
    </row>
    <row r="711" spans="1:2" x14ac:dyDescent="0.25">
      <c r="B711" s="18" t="s">
        <v>205</v>
      </c>
    </row>
    <row r="712" spans="1:2" x14ac:dyDescent="0.25">
      <c r="B712" s="18" t="s">
        <v>138</v>
      </c>
    </row>
    <row r="713" spans="1:2" x14ac:dyDescent="0.25">
      <c r="B713" s="18" t="s">
        <v>157</v>
      </c>
    </row>
    <row r="714" spans="1:2" x14ac:dyDescent="0.25">
      <c r="A714" s="23">
        <v>0</v>
      </c>
      <c r="B714" s="18" t="str">
        <f>"// MPU_S IDX "&amp;A714&amp;" ********************************"</f>
        <v>// MPU_S IDX 0 ********************************</v>
      </c>
    </row>
    <row r="715" spans="1:2" x14ac:dyDescent="0.25">
      <c r="B715" s="18" t="str">
        <f>"//   &lt;e&gt;Initialize MPU_S Attr Idx "&amp;A714</f>
        <v>//   &lt;e&gt;Initialize MPU_S Attr Idx 0</v>
      </c>
    </row>
    <row r="716" spans="1:2" x14ac:dyDescent="0.25">
      <c r="A716" s="23">
        <v>168</v>
      </c>
      <c r="B716" s="18" t="str">
        <f ca="1">"#define MPU_S_INIT_IDX"&amp;A714&amp;"   "&amp;N(INDIRECT("CONFIG!A"&amp;A716))</f>
        <v>#define MPU_S_INIT_IDX0   1</v>
      </c>
    </row>
    <row r="717" spans="1:2" x14ac:dyDescent="0.25">
      <c r="B717" s="18" t="str">
        <f>"//   &lt;o&gt;Memory Access Type of Attr Idx "&amp;A714</f>
        <v>//   &lt;o&gt;Memory Access Type of Attr Idx 0</v>
      </c>
    </row>
    <row r="718" spans="1:2" x14ac:dyDescent="0.25">
      <c r="B718" s="18" t="s">
        <v>113</v>
      </c>
    </row>
    <row r="719" spans="1:2" x14ac:dyDescent="0.25">
      <c r="B719" s="18" t="s">
        <v>114</v>
      </c>
    </row>
    <row r="720" spans="1:2" x14ac:dyDescent="0.25">
      <c r="B720" s="18" t="s">
        <v>115</v>
      </c>
    </row>
    <row r="721" spans="1:2" x14ac:dyDescent="0.25">
      <c r="B721" s="18" t="s">
        <v>116</v>
      </c>
    </row>
    <row r="722" spans="1:2" x14ac:dyDescent="0.25">
      <c r="B722" s="18" t="s">
        <v>117</v>
      </c>
    </row>
    <row r="723" spans="1:2" x14ac:dyDescent="0.25">
      <c r="B723" s="18" t="s">
        <v>118</v>
      </c>
    </row>
    <row r="724" spans="1:2" x14ac:dyDescent="0.25">
      <c r="B724" s="18" t="s">
        <v>119</v>
      </c>
    </row>
    <row r="725" spans="1:2" x14ac:dyDescent="0.25">
      <c r="B725" s="18" t="s">
        <v>120</v>
      </c>
    </row>
    <row r="726" spans="1:2" x14ac:dyDescent="0.25">
      <c r="B726" s="18" t="s">
        <v>121</v>
      </c>
    </row>
    <row r="727" spans="1:2" x14ac:dyDescent="0.25">
      <c r="A727">
        <f>A716+2</f>
        <v>170</v>
      </c>
      <c r="B727" s="18" t="str" cm="1">
        <f t="array" aca="1" ref="B727" ca="1">"#define MPU_S_TYPE_IDX"&amp;A714&amp;"   "&amp;"0x"&amp;DEC2HEX(HEX2DEC(INDIRECT("CONFIG!A"&amp;INDIRECT("CONFIG!A"&amp;(A727))+264)),2)</f>
        <v>#define MPU_S_TYPE_IDX0   0xAA</v>
      </c>
    </row>
    <row r="728" spans="1:2" x14ac:dyDescent="0.25">
      <c r="B728" s="18" t="str">
        <f>"//   &lt;h&gt;if Type of Attr Idx "&amp;A714&amp;" is NORMAL Memory"</f>
        <v>//   &lt;h&gt;if Type of Attr Idx 0 is NORMAL Memory</v>
      </c>
    </row>
    <row r="729" spans="1:2" x14ac:dyDescent="0.25">
      <c r="B729" s="18" t="s">
        <v>122</v>
      </c>
    </row>
    <row r="730" spans="1:2" x14ac:dyDescent="0.25">
      <c r="B730" s="18" t="s">
        <v>136</v>
      </c>
    </row>
    <row r="731" spans="1:2" x14ac:dyDescent="0.25">
      <c r="B731" s="18" t="s">
        <v>123</v>
      </c>
    </row>
    <row r="732" spans="1:2" x14ac:dyDescent="0.25">
      <c r="B732" s="18" t="s">
        <v>124</v>
      </c>
    </row>
    <row r="733" spans="1:2" x14ac:dyDescent="0.25">
      <c r="B733" s="18" t="s">
        <v>125</v>
      </c>
    </row>
    <row r="734" spans="1:2" x14ac:dyDescent="0.25">
      <c r="B734" s="18" t="s">
        <v>126</v>
      </c>
    </row>
    <row r="735" spans="1:2" x14ac:dyDescent="0.25">
      <c r="A735">
        <f>A727+1</f>
        <v>171</v>
      </c>
      <c r="B735" s="18" t="str" cm="1">
        <f t="array" aca="1" ref="B735" ca="1">"#define MPU_S_OC_POL_IDX"&amp;A714&amp;" 0x"&amp;DEC2HEX(16*HEX2DEC(INDIRECT("CONFIG!A"&amp;INDIRECT("CONFIG!A"&amp;(A735))+273)),2)</f>
        <v>#define MPU_S_OC_POL_IDX0 0x10</v>
      </c>
    </row>
    <row r="736" spans="1:2" x14ac:dyDescent="0.25">
      <c r="B736" s="18" t="s">
        <v>127</v>
      </c>
    </row>
    <row r="737" spans="1:2" x14ac:dyDescent="0.25">
      <c r="B737" s="18" t="s">
        <v>137</v>
      </c>
    </row>
    <row r="738" spans="1:2" x14ac:dyDescent="0.25">
      <c r="B738" s="18" t="s">
        <v>128</v>
      </c>
    </row>
    <row r="739" spans="1:2" x14ac:dyDescent="0.25">
      <c r="B739" s="18" t="s">
        <v>129</v>
      </c>
    </row>
    <row r="740" spans="1:2" x14ac:dyDescent="0.25">
      <c r="B740" s="18" t="s">
        <v>130</v>
      </c>
    </row>
    <row r="741" spans="1:2" x14ac:dyDescent="0.25">
      <c r="B741" s="18" t="s">
        <v>131</v>
      </c>
    </row>
    <row r="742" spans="1:2" x14ac:dyDescent="0.25">
      <c r="A742">
        <f>A735+3</f>
        <v>174</v>
      </c>
      <c r="B742" s="18" t="str" cm="1">
        <f t="array" aca="1" ref="B742" ca="1">"#define MPU_S_IC_POL_IDX"&amp;A714&amp;" 0x"&amp;DEC2HEX(HEX2DEC(INDIRECT("CONFIG!A"&amp;INDIRECT("CONFIG!A"&amp;(A742))+273)),2)</f>
        <v>#define MPU_S_IC_POL_IDX0 0x01</v>
      </c>
    </row>
    <row r="743" spans="1:2" x14ac:dyDescent="0.25">
      <c r="B743" s="18" t="s">
        <v>132</v>
      </c>
    </row>
    <row r="744" spans="1:2" x14ac:dyDescent="0.25">
      <c r="B744" s="18" t="s">
        <v>133</v>
      </c>
    </row>
    <row r="745" spans="1:2" x14ac:dyDescent="0.25">
      <c r="A745">
        <f>A735+1</f>
        <v>172</v>
      </c>
      <c r="B745" s="18" t="str" cm="1">
        <f t="array" aca="1" ref="B745" ca="1">"#define MPU_S_OC_RW_IDX"&amp;A714&amp;"  0x"&amp;DEC2HEX((16*INDIRECT("CONFIG!A"&amp;(A745))+(32*INDIRECT("CONFIG!A"&amp;(A746)))),2)</f>
        <v>#define MPU_S_OC_RW_IDX0  0x00</v>
      </c>
    </row>
    <row r="746" spans="1:2" x14ac:dyDescent="0.25">
      <c r="A746">
        <f>A745+1</f>
        <v>173</v>
      </c>
      <c r="B746" s="18" t="s">
        <v>134</v>
      </c>
    </row>
    <row r="747" spans="1:2" x14ac:dyDescent="0.25">
      <c r="B747" s="18" t="s">
        <v>135</v>
      </c>
    </row>
    <row r="748" spans="1:2" x14ac:dyDescent="0.25">
      <c r="A748">
        <f>A742+1</f>
        <v>175</v>
      </c>
      <c r="B748" s="18" t="str" cm="1">
        <f t="array" aca="1" ref="B748" ca="1">"#define MPU_S_IC_RW_IDX"&amp;A714&amp;"  0x"&amp;DEC2HEX((1*INDIRECT("CONFIG!A"&amp;(A748))+(2*INDIRECT("CONFIG!A"&amp;(A749)))),2)</f>
        <v>#define MPU_S_IC_RW_IDX0  0x00</v>
      </c>
    </row>
    <row r="749" spans="1:2" x14ac:dyDescent="0.25">
      <c r="A749">
        <f>A748+1</f>
        <v>176</v>
      </c>
      <c r="B749" s="18" t="str">
        <f>"//   &lt;/h&gt;   //if NORMAL Memory of IDX"&amp;A714</f>
        <v>//   &lt;/h&gt;   //if NORMAL Memory of IDX0</v>
      </c>
    </row>
    <row r="750" spans="1:2" x14ac:dyDescent="0.25">
      <c r="B750" s="18" t="str">
        <f>"#if (MPU_S_OC_POL_IDX"&amp;A714&amp;" == 0x10)"</f>
        <v>#if (MPU_S_OC_POL_IDX0 == 0x10)</v>
      </c>
    </row>
    <row r="751" spans="1:2" x14ac:dyDescent="0.25">
      <c r="B751" s="18" t="str">
        <f>"#define MPU_S_OUTERCACHE_IDX"&amp;A714&amp;"   0x40"</f>
        <v>#define MPU_S_OUTERCACHE_IDX0   0x40</v>
      </c>
    </row>
    <row r="752" spans="1:2" x14ac:dyDescent="0.25">
      <c r="B752" s="18" t="s">
        <v>24</v>
      </c>
    </row>
    <row r="753" spans="1:2" x14ac:dyDescent="0.25">
      <c r="B753" s="18" t="str">
        <f>"#define MPU_S_OUTERCACHE_IDX"&amp;A714&amp;"   (MPU_S_OC_POL_IDX"&amp;A714&amp;" | MPU_S_OC_RW_IDX"&amp;A714&amp;")"</f>
        <v>#define MPU_S_OUTERCACHE_IDX0   (MPU_S_OC_POL_IDX0 | MPU_S_OC_RW_IDX0)</v>
      </c>
    </row>
    <row r="754" spans="1:2" x14ac:dyDescent="0.25">
      <c r="B754" s="18" t="s">
        <v>25</v>
      </c>
    </row>
    <row r="755" spans="1:2" x14ac:dyDescent="0.25">
      <c r="B755" s="18" t="str">
        <f>"#if (MPU_S_IC_POL_IDX"&amp;A714&amp;" == 0x01)"</f>
        <v>#if (MPU_S_IC_POL_IDX0 == 0x01)</v>
      </c>
    </row>
    <row r="756" spans="1:2" x14ac:dyDescent="0.25">
      <c r="B756" s="18" t="str">
        <f>"#define MPU_S_INNERCACHE_IDX"&amp;A714&amp;"   0x04"</f>
        <v>#define MPU_S_INNERCACHE_IDX0   0x04</v>
      </c>
    </row>
    <row r="757" spans="1:2" x14ac:dyDescent="0.25">
      <c r="B757" s="18" t="s">
        <v>24</v>
      </c>
    </row>
    <row r="758" spans="1:2" x14ac:dyDescent="0.25">
      <c r="B758" s="18" t="str">
        <f>"#define MPU_S_INNERCACHE_IDX"&amp;A714&amp;"   (MPU_S_IC_POL_IDX"&amp;A714&amp;" | MPU_S_IC_RW_IDX"&amp;A714&amp;")"</f>
        <v>#define MPU_S_INNERCACHE_IDX0   (MPU_S_IC_POL_IDX0 | MPU_S_IC_RW_IDX0)</v>
      </c>
    </row>
    <row r="759" spans="1:2" x14ac:dyDescent="0.25">
      <c r="B759" s="18" t="s">
        <v>25</v>
      </c>
    </row>
    <row r="760" spans="1:2" x14ac:dyDescent="0.25">
      <c r="B760" s="18" t="str">
        <f>"#if (MPU_S_TYPE_IDX"&amp;A714&amp;" == 0x01)"</f>
        <v>#if (MPU_S_TYPE_IDX0 == 0x01)</v>
      </c>
    </row>
    <row r="761" spans="1:2" x14ac:dyDescent="0.25">
      <c r="B761" s="18" t="str">
        <f>"#define MPU_S_VAL_IDX"&amp;A714&amp;"   (MPU_S_OUTERCACHE_IDX"&amp;A714&amp;" | MPU_S_INNERCACHE_IDX"&amp;A714&amp;")"</f>
        <v>#define MPU_S_VAL_IDX0   (MPU_S_OUTERCACHE_IDX0 | MPU_S_INNERCACHE_IDX0)</v>
      </c>
    </row>
    <row r="762" spans="1:2" x14ac:dyDescent="0.25">
      <c r="B762" s="18" t="s">
        <v>24</v>
      </c>
    </row>
    <row r="763" spans="1:2" x14ac:dyDescent="0.25">
      <c r="B763" s="18" t="str">
        <f>"#define MPU_S_VAL_IDX"&amp;A714&amp;"   MPU_S_TYPE_IDX"&amp;A714&amp;""</f>
        <v>#define MPU_S_VAL_IDX0   MPU_S_TYPE_IDX0</v>
      </c>
    </row>
    <row r="764" spans="1:2" x14ac:dyDescent="0.25">
      <c r="B764" s="18" t="s">
        <v>25</v>
      </c>
    </row>
    <row r="765" spans="1:2" x14ac:dyDescent="0.25">
      <c r="B765" s="18" t="str">
        <f>"//   &lt;/e&gt;   //MPU_S Attr Idx "&amp;A714</f>
        <v>//   &lt;/e&gt;   //MPU_S Attr Idx 0</v>
      </c>
    </row>
    <row r="766" spans="1:2" x14ac:dyDescent="0.25">
      <c r="A766" s="23">
        <f>A714+1</f>
        <v>1</v>
      </c>
      <c r="B766" s="18" t="str">
        <f>"// MPU_S IDX "&amp;A766&amp;" ********************************"</f>
        <v>// MPU_S IDX 1 ********************************</v>
      </c>
    </row>
    <row r="767" spans="1:2" x14ac:dyDescent="0.25">
      <c r="B767" s="18" t="str">
        <f>"//   &lt;e&gt;Initialize MPU_S Attr Idx "&amp;A766</f>
        <v>//   &lt;e&gt;Initialize MPU_S Attr Idx 1</v>
      </c>
    </row>
    <row r="768" spans="1:2" x14ac:dyDescent="0.25">
      <c r="A768" s="23">
        <f>A716+10</f>
        <v>178</v>
      </c>
      <c r="B768" s="18" t="str">
        <f ca="1">"#define MPU_S_INIT_IDX"&amp;A766&amp;"   "&amp;N(INDIRECT("CONFIG!A"&amp;A768))</f>
        <v>#define MPU_S_INIT_IDX1   1</v>
      </c>
    </row>
    <row r="769" spans="1:2" x14ac:dyDescent="0.25">
      <c r="B769" s="18" t="str">
        <f>"//   &lt;o&gt;Memory Access Type of Attr Idx "&amp;A766</f>
        <v>//   &lt;o&gt;Memory Access Type of Attr Idx 1</v>
      </c>
    </row>
    <row r="770" spans="1:2" x14ac:dyDescent="0.25">
      <c r="B770" s="18" t="s">
        <v>113</v>
      </c>
    </row>
    <row r="771" spans="1:2" x14ac:dyDescent="0.25">
      <c r="B771" s="18" t="s">
        <v>114</v>
      </c>
    </row>
    <row r="772" spans="1:2" x14ac:dyDescent="0.25">
      <c r="B772" s="18" t="s">
        <v>115</v>
      </c>
    </row>
    <row r="773" spans="1:2" x14ac:dyDescent="0.25">
      <c r="B773" s="18" t="s">
        <v>116</v>
      </c>
    </row>
    <row r="774" spans="1:2" x14ac:dyDescent="0.25">
      <c r="B774" s="18" t="s">
        <v>117</v>
      </c>
    </row>
    <row r="775" spans="1:2" x14ac:dyDescent="0.25">
      <c r="B775" s="18" t="s">
        <v>118</v>
      </c>
    </row>
    <row r="776" spans="1:2" x14ac:dyDescent="0.25">
      <c r="B776" s="18" t="s">
        <v>119</v>
      </c>
    </row>
    <row r="777" spans="1:2" x14ac:dyDescent="0.25">
      <c r="B777" s="18" t="s">
        <v>120</v>
      </c>
    </row>
    <row r="778" spans="1:2" x14ac:dyDescent="0.25">
      <c r="B778" s="18" t="s">
        <v>121</v>
      </c>
    </row>
    <row r="779" spans="1:2" x14ac:dyDescent="0.25">
      <c r="A779">
        <f>A768+2</f>
        <v>180</v>
      </c>
      <c r="B779" s="18" t="str" cm="1">
        <f t="array" aca="1" ref="B779" ca="1">"#define MPU_S_TYPE_IDX"&amp;A766&amp;"   "&amp;"0x"&amp;DEC2HEX(HEX2DEC(INDIRECT("CONFIG!A"&amp;INDIRECT("CONFIG!A"&amp;(A779))+264)),2)</f>
        <v>#define MPU_S_TYPE_IDX1   0xAA</v>
      </c>
    </row>
    <row r="780" spans="1:2" x14ac:dyDescent="0.25">
      <c r="B780" s="18" t="str">
        <f>"//   &lt;h&gt;if Type of Attr Idx "&amp;A766&amp;" is NORMAL Memory"</f>
        <v>//   &lt;h&gt;if Type of Attr Idx 1 is NORMAL Memory</v>
      </c>
    </row>
    <row r="781" spans="1:2" x14ac:dyDescent="0.25">
      <c r="B781" s="18" t="s">
        <v>122</v>
      </c>
    </row>
    <row r="782" spans="1:2" x14ac:dyDescent="0.25">
      <c r="B782" s="18" t="s">
        <v>136</v>
      </c>
    </row>
    <row r="783" spans="1:2" x14ac:dyDescent="0.25">
      <c r="B783" s="18" t="s">
        <v>123</v>
      </c>
    </row>
    <row r="784" spans="1:2" x14ac:dyDescent="0.25">
      <c r="B784" s="18" t="s">
        <v>124</v>
      </c>
    </row>
    <row r="785" spans="1:2" x14ac:dyDescent="0.25">
      <c r="B785" s="18" t="s">
        <v>125</v>
      </c>
    </row>
    <row r="786" spans="1:2" x14ac:dyDescent="0.25">
      <c r="B786" s="18" t="s">
        <v>126</v>
      </c>
    </row>
    <row r="787" spans="1:2" x14ac:dyDescent="0.25">
      <c r="A787">
        <f>A779+1</f>
        <v>181</v>
      </c>
      <c r="B787" s="18" t="str" cm="1">
        <f t="array" aca="1" ref="B787" ca="1">"#define MPU_S_OC_POL_IDX"&amp;A766&amp;" 0x"&amp;DEC2HEX(16*HEX2DEC(INDIRECT("CONFIG!A"&amp;INDIRECT("CONFIG!A"&amp;(A787))+273)),2)</f>
        <v>#define MPU_S_OC_POL_IDX1 0x10</v>
      </c>
    </row>
    <row r="788" spans="1:2" x14ac:dyDescent="0.25">
      <c r="B788" s="18" t="s">
        <v>127</v>
      </c>
    </row>
    <row r="789" spans="1:2" x14ac:dyDescent="0.25">
      <c r="B789" s="18" t="s">
        <v>137</v>
      </c>
    </row>
    <row r="790" spans="1:2" x14ac:dyDescent="0.25">
      <c r="B790" s="18" t="s">
        <v>128</v>
      </c>
    </row>
    <row r="791" spans="1:2" x14ac:dyDescent="0.25">
      <c r="B791" s="18" t="s">
        <v>129</v>
      </c>
    </row>
    <row r="792" spans="1:2" x14ac:dyDescent="0.25">
      <c r="B792" s="18" t="s">
        <v>130</v>
      </c>
    </row>
    <row r="793" spans="1:2" x14ac:dyDescent="0.25">
      <c r="B793" s="18" t="s">
        <v>131</v>
      </c>
    </row>
    <row r="794" spans="1:2" x14ac:dyDescent="0.25">
      <c r="A794">
        <f>A787+3</f>
        <v>184</v>
      </c>
      <c r="B794" s="18" t="str" cm="1">
        <f t="array" aca="1" ref="B794" ca="1">"#define MPU_S_IC_POL_IDX"&amp;A766&amp;" 0x"&amp;DEC2HEX(HEX2DEC(INDIRECT("CONFIG!A"&amp;INDIRECT("CONFIG!A"&amp;(A794))+273)),2)</f>
        <v>#define MPU_S_IC_POL_IDX1 0x01</v>
      </c>
    </row>
    <row r="795" spans="1:2" x14ac:dyDescent="0.25">
      <c r="B795" s="18" t="s">
        <v>132</v>
      </c>
    </row>
    <row r="796" spans="1:2" x14ac:dyDescent="0.25">
      <c r="B796" s="18" t="s">
        <v>133</v>
      </c>
    </row>
    <row r="797" spans="1:2" x14ac:dyDescent="0.25">
      <c r="A797">
        <f>A787+1</f>
        <v>182</v>
      </c>
      <c r="B797" s="18" t="str" cm="1">
        <f t="array" aca="1" ref="B797" ca="1">"#define MPU_S_OC_RW_IDX"&amp;A766&amp;"  0x"&amp;DEC2HEX((16*INDIRECT("CONFIG!A"&amp;(A797))+(32*INDIRECT("CONFIG!A"&amp;(A798)))),2)</f>
        <v>#define MPU_S_OC_RW_IDX1  0x00</v>
      </c>
    </row>
    <row r="798" spans="1:2" x14ac:dyDescent="0.25">
      <c r="A798">
        <f>A797+1</f>
        <v>183</v>
      </c>
      <c r="B798" s="18" t="s">
        <v>134</v>
      </c>
    </row>
    <row r="799" spans="1:2" x14ac:dyDescent="0.25">
      <c r="B799" s="18" t="s">
        <v>135</v>
      </c>
    </row>
    <row r="800" spans="1:2" x14ac:dyDescent="0.25">
      <c r="A800">
        <f>A794+1</f>
        <v>185</v>
      </c>
      <c r="B800" s="18" t="str" cm="1">
        <f t="array" aca="1" ref="B800" ca="1">"#define MPU_S_IC_RW_IDX"&amp;A766&amp;"  0x"&amp;DEC2HEX((1*INDIRECT("CONFIG!A"&amp;(A800))+(2*INDIRECT("CONFIG!A"&amp;(A801)))),2)</f>
        <v>#define MPU_S_IC_RW_IDX1  0x00</v>
      </c>
    </row>
    <row r="801" spans="1:2" x14ac:dyDescent="0.25">
      <c r="A801">
        <f>A800+1</f>
        <v>186</v>
      </c>
      <c r="B801" s="18" t="str">
        <f>"//   &lt;/h&gt;   //if NORMAL Memory of IDX"&amp;A766</f>
        <v>//   &lt;/h&gt;   //if NORMAL Memory of IDX1</v>
      </c>
    </row>
    <row r="802" spans="1:2" x14ac:dyDescent="0.25">
      <c r="B802" s="18" t="str">
        <f>"#if (MPU_S_OC_POL_IDX"&amp;A766&amp;" == 0x10)"</f>
        <v>#if (MPU_S_OC_POL_IDX1 == 0x10)</v>
      </c>
    </row>
    <row r="803" spans="1:2" x14ac:dyDescent="0.25">
      <c r="B803" s="18" t="str">
        <f>"#define MPU_S_OUTERCACHE_IDX"&amp;A766&amp;"   0x40"</f>
        <v>#define MPU_S_OUTERCACHE_IDX1   0x40</v>
      </c>
    </row>
    <row r="804" spans="1:2" x14ac:dyDescent="0.25">
      <c r="B804" s="18" t="s">
        <v>24</v>
      </c>
    </row>
    <row r="805" spans="1:2" x14ac:dyDescent="0.25">
      <c r="B805" s="18" t="str">
        <f>"#define MPU_S_OUTERCACHE_IDX"&amp;A766&amp;"   (MPU_S_OC_POL_IDX"&amp;A766&amp;" | MPU_S_OC_RW_IDX"&amp;A766&amp;")"</f>
        <v>#define MPU_S_OUTERCACHE_IDX1   (MPU_S_OC_POL_IDX1 | MPU_S_OC_RW_IDX1)</v>
      </c>
    </row>
    <row r="806" spans="1:2" x14ac:dyDescent="0.25">
      <c r="B806" s="18" t="s">
        <v>25</v>
      </c>
    </row>
    <row r="807" spans="1:2" x14ac:dyDescent="0.25">
      <c r="B807" s="18" t="str">
        <f>"#if (MPU_S_IC_POL_IDX"&amp;A766&amp;" == 0x01)"</f>
        <v>#if (MPU_S_IC_POL_IDX1 == 0x01)</v>
      </c>
    </row>
    <row r="808" spans="1:2" x14ac:dyDescent="0.25">
      <c r="B808" s="18" t="str">
        <f>"#define MPU_S_INNERCACHE_IDX"&amp;A766&amp;"   0x04"</f>
        <v>#define MPU_S_INNERCACHE_IDX1   0x04</v>
      </c>
    </row>
    <row r="809" spans="1:2" x14ac:dyDescent="0.25">
      <c r="B809" s="18" t="s">
        <v>24</v>
      </c>
    </row>
    <row r="810" spans="1:2" x14ac:dyDescent="0.25">
      <c r="B810" s="18" t="str">
        <f>"#define MPU_S_INNERCACHE_IDX"&amp;A766&amp;"   (MPU_S_IC_POL_IDX"&amp;A766&amp;" | MPU_S_IC_RW_IDX"&amp;A766&amp;")"</f>
        <v>#define MPU_S_INNERCACHE_IDX1   (MPU_S_IC_POL_IDX1 | MPU_S_IC_RW_IDX1)</v>
      </c>
    </row>
    <row r="811" spans="1:2" x14ac:dyDescent="0.25">
      <c r="B811" s="18" t="s">
        <v>25</v>
      </c>
    </row>
    <row r="812" spans="1:2" x14ac:dyDescent="0.25">
      <c r="B812" s="18" t="str">
        <f>"#if (MPU_S_TYPE_IDX"&amp;A766&amp;" == 0x01)"</f>
        <v>#if (MPU_S_TYPE_IDX1 == 0x01)</v>
      </c>
    </row>
    <row r="813" spans="1:2" x14ac:dyDescent="0.25">
      <c r="B813" s="18" t="str">
        <f>"#define MPU_S_VAL_IDX"&amp;A766&amp;"   (MPU_S_OUTERCACHE_IDX"&amp;A766&amp;" | MPU_S_INNERCACHE_IDX"&amp;A766&amp;")"</f>
        <v>#define MPU_S_VAL_IDX1   (MPU_S_OUTERCACHE_IDX1 | MPU_S_INNERCACHE_IDX1)</v>
      </c>
    </row>
    <row r="814" spans="1:2" x14ac:dyDescent="0.25">
      <c r="B814" s="18" t="s">
        <v>24</v>
      </c>
    </row>
    <row r="815" spans="1:2" x14ac:dyDescent="0.25">
      <c r="B815" s="18" t="str">
        <f>"#define MPU_S_VAL_IDX"&amp;A766&amp;"   MPU_S_TYPE_IDX"&amp;A766&amp;""</f>
        <v>#define MPU_S_VAL_IDX1   MPU_S_TYPE_IDX1</v>
      </c>
    </row>
    <row r="816" spans="1:2" x14ac:dyDescent="0.25">
      <c r="B816" s="18" t="s">
        <v>25</v>
      </c>
    </row>
    <row r="817" spans="1:2" x14ac:dyDescent="0.25">
      <c r="B817" s="18" t="str">
        <f>"//   &lt;/e&gt;   //MPU_S Attr Idx "&amp;A766</f>
        <v>//   &lt;/e&gt;   //MPU_S Attr Idx 1</v>
      </c>
    </row>
    <row r="818" spans="1:2" x14ac:dyDescent="0.25">
      <c r="A818" s="23">
        <f>A766+1</f>
        <v>2</v>
      </c>
      <c r="B818" s="18" t="str">
        <f>"// MPU_S IDX "&amp;A818&amp;" ********************************"</f>
        <v>// MPU_S IDX 2 ********************************</v>
      </c>
    </row>
    <row r="819" spans="1:2" x14ac:dyDescent="0.25">
      <c r="B819" s="18" t="str">
        <f>"//   &lt;e&gt;Initialize MPU_S Attr Idx "&amp;A818</f>
        <v>//   &lt;e&gt;Initialize MPU_S Attr Idx 2</v>
      </c>
    </row>
    <row r="820" spans="1:2" x14ac:dyDescent="0.25">
      <c r="A820" s="23">
        <f>A768+10</f>
        <v>188</v>
      </c>
      <c r="B820" s="18" t="str">
        <f ca="1">"#define MPU_S_INIT_IDX"&amp;A818&amp;"   "&amp;N(INDIRECT("CONFIG!A"&amp;A820))</f>
        <v>#define MPU_S_INIT_IDX2   1</v>
      </c>
    </row>
    <row r="821" spans="1:2" x14ac:dyDescent="0.25">
      <c r="B821" s="18" t="str">
        <f>"//   &lt;o&gt;Memory Access Type of Attr Idx "&amp;A818</f>
        <v>//   &lt;o&gt;Memory Access Type of Attr Idx 2</v>
      </c>
    </row>
    <row r="822" spans="1:2" x14ac:dyDescent="0.25">
      <c r="B822" s="18" t="s">
        <v>113</v>
      </c>
    </row>
    <row r="823" spans="1:2" x14ac:dyDescent="0.25">
      <c r="B823" s="18" t="s">
        <v>114</v>
      </c>
    </row>
    <row r="824" spans="1:2" x14ac:dyDescent="0.25">
      <c r="B824" s="18" t="s">
        <v>115</v>
      </c>
    </row>
    <row r="825" spans="1:2" x14ac:dyDescent="0.25">
      <c r="B825" s="18" t="s">
        <v>116</v>
      </c>
    </row>
    <row r="826" spans="1:2" x14ac:dyDescent="0.25">
      <c r="B826" s="18" t="s">
        <v>117</v>
      </c>
    </row>
    <row r="827" spans="1:2" x14ac:dyDescent="0.25">
      <c r="B827" s="18" t="s">
        <v>118</v>
      </c>
    </row>
    <row r="828" spans="1:2" x14ac:dyDescent="0.25">
      <c r="B828" s="18" t="s">
        <v>119</v>
      </c>
    </row>
    <row r="829" spans="1:2" x14ac:dyDescent="0.25">
      <c r="B829" s="18" t="s">
        <v>120</v>
      </c>
    </row>
    <row r="830" spans="1:2" x14ac:dyDescent="0.25">
      <c r="B830" s="18" t="s">
        <v>121</v>
      </c>
    </row>
    <row r="831" spans="1:2" x14ac:dyDescent="0.25">
      <c r="A831">
        <f>A820+2</f>
        <v>190</v>
      </c>
      <c r="B831" s="18" t="str" cm="1">
        <f t="array" aca="1" ref="B831" ca="1">"#define MPU_S_TYPE_IDX"&amp;A818&amp;"   "&amp;"0x"&amp;DEC2HEX(HEX2DEC(INDIRECT("CONFIG!A"&amp;INDIRECT("CONFIG!A"&amp;(A831))+264)),2)</f>
        <v>#define MPU_S_TYPE_IDX2   0x00</v>
      </c>
    </row>
    <row r="832" spans="1:2" x14ac:dyDescent="0.25">
      <c r="B832" s="18" t="str">
        <f>"//   &lt;h&gt;if Type of Attr Idx "&amp;A818&amp;" is NORMAL Memory"</f>
        <v>//   &lt;h&gt;if Type of Attr Idx 2 is NORMAL Memory</v>
      </c>
    </row>
    <row r="833" spans="1:2" x14ac:dyDescent="0.25">
      <c r="B833" s="18" t="s">
        <v>122</v>
      </c>
    </row>
    <row r="834" spans="1:2" x14ac:dyDescent="0.25">
      <c r="B834" s="18" t="s">
        <v>136</v>
      </c>
    </row>
    <row r="835" spans="1:2" x14ac:dyDescent="0.25">
      <c r="B835" s="18" t="s">
        <v>123</v>
      </c>
    </row>
    <row r="836" spans="1:2" x14ac:dyDescent="0.25">
      <c r="B836" s="18" t="s">
        <v>124</v>
      </c>
    </row>
    <row r="837" spans="1:2" x14ac:dyDescent="0.25">
      <c r="B837" s="18" t="s">
        <v>125</v>
      </c>
    </row>
    <row r="838" spans="1:2" x14ac:dyDescent="0.25">
      <c r="B838" s="18" t="s">
        <v>126</v>
      </c>
    </row>
    <row r="839" spans="1:2" x14ac:dyDescent="0.25">
      <c r="A839">
        <f>A831+1</f>
        <v>191</v>
      </c>
      <c r="B839" s="18" t="str" cm="1">
        <f t="array" aca="1" ref="B839" ca="1">"#define MPU_S_OC_POL_IDX"&amp;A818&amp;" 0x"&amp;DEC2HEX(16*HEX2DEC(INDIRECT("CONFIG!A"&amp;INDIRECT("CONFIG!A"&amp;(A839))+273)),2)</f>
        <v>#define MPU_S_OC_POL_IDX2 0x10</v>
      </c>
    </row>
    <row r="840" spans="1:2" x14ac:dyDescent="0.25">
      <c r="B840" s="18" t="s">
        <v>127</v>
      </c>
    </row>
    <row r="841" spans="1:2" x14ac:dyDescent="0.25">
      <c r="B841" s="18" t="s">
        <v>137</v>
      </c>
    </row>
    <row r="842" spans="1:2" x14ac:dyDescent="0.25">
      <c r="B842" s="18" t="s">
        <v>128</v>
      </c>
    </row>
    <row r="843" spans="1:2" x14ac:dyDescent="0.25">
      <c r="B843" s="18" t="s">
        <v>129</v>
      </c>
    </row>
    <row r="844" spans="1:2" x14ac:dyDescent="0.25">
      <c r="B844" s="18" t="s">
        <v>130</v>
      </c>
    </row>
    <row r="845" spans="1:2" x14ac:dyDescent="0.25">
      <c r="B845" s="18" t="s">
        <v>131</v>
      </c>
    </row>
    <row r="846" spans="1:2" x14ac:dyDescent="0.25">
      <c r="A846">
        <f>A839+3</f>
        <v>194</v>
      </c>
      <c r="B846" s="18" t="str" cm="1">
        <f t="array" aca="1" ref="B846" ca="1">"#define MPU_S_IC_POL_IDX"&amp;A818&amp;" 0x"&amp;DEC2HEX(HEX2DEC(INDIRECT("CONFIG!A"&amp;INDIRECT("CONFIG!A"&amp;(A846))+273)),2)</f>
        <v>#define MPU_S_IC_POL_IDX2 0x01</v>
      </c>
    </row>
    <row r="847" spans="1:2" x14ac:dyDescent="0.25">
      <c r="B847" s="18" t="s">
        <v>132</v>
      </c>
    </row>
    <row r="848" spans="1:2" x14ac:dyDescent="0.25">
      <c r="B848" s="18" t="s">
        <v>133</v>
      </c>
    </row>
    <row r="849" spans="1:2" x14ac:dyDescent="0.25">
      <c r="A849">
        <f>A839+1</f>
        <v>192</v>
      </c>
      <c r="B849" s="18" t="str" cm="1">
        <f t="array" aca="1" ref="B849" ca="1">"#define MPU_S_OC_RW_IDX"&amp;A818&amp;"  0x"&amp;DEC2HEX((16*INDIRECT("CONFIG!A"&amp;(A849))+(32*INDIRECT("CONFIG!A"&amp;(A850)))),2)</f>
        <v>#define MPU_S_OC_RW_IDX2  0x00</v>
      </c>
    </row>
    <row r="850" spans="1:2" x14ac:dyDescent="0.25">
      <c r="A850">
        <f>A849+1</f>
        <v>193</v>
      </c>
      <c r="B850" s="18" t="s">
        <v>134</v>
      </c>
    </row>
    <row r="851" spans="1:2" x14ac:dyDescent="0.25">
      <c r="B851" s="18" t="s">
        <v>135</v>
      </c>
    </row>
    <row r="852" spans="1:2" x14ac:dyDescent="0.25">
      <c r="A852">
        <f>A846+1</f>
        <v>195</v>
      </c>
      <c r="B852" s="18" t="str" cm="1">
        <f t="array" aca="1" ref="B852" ca="1">"#define MPU_S_IC_RW_IDX"&amp;A818&amp;"  0x"&amp;DEC2HEX((1*INDIRECT("CONFIG!A"&amp;(A852))+(2*INDIRECT("CONFIG!A"&amp;(A853)))),2)</f>
        <v>#define MPU_S_IC_RW_IDX2  0x00</v>
      </c>
    </row>
    <row r="853" spans="1:2" x14ac:dyDescent="0.25">
      <c r="A853">
        <f>A852+1</f>
        <v>196</v>
      </c>
      <c r="B853" s="18" t="str">
        <f>"//   &lt;/h&gt;   //if NORMAL Memory of IDX"&amp;A818</f>
        <v>//   &lt;/h&gt;   //if NORMAL Memory of IDX2</v>
      </c>
    </row>
    <row r="854" spans="1:2" x14ac:dyDescent="0.25">
      <c r="B854" s="18" t="str">
        <f>"#if (MPU_S_OC_POL_IDX"&amp;A818&amp;" == 0x10)"</f>
        <v>#if (MPU_S_OC_POL_IDX2 == 0x10)</v>
      </c>
    </row>
    <row r="855" spans="1:2" x14ac:dyDescent="0.25">
      <c r="B855" s="18" t="str">
        <f>"#define MPU_S_OUTERCACHE_IDX"&amp;A818&amp;"   0x40"</f>
        <v>#define MPU_S_OUTERCACHE_IDX2   0x40</v>
      </c>
    </row>
    <row r="856" spans="1:2" x14ac:dyDescent="0.25">
      <c r="B856" s="18" t="s">
        <v>24</v>
      </c>
    </row>
    <row r="857" spans="1:2" x14ac:dyDescent="0.25">
      <c r="B857" s="18" t="str">
        <f>"#define MPU_S_OUTERCACHE_IDX"&amp;A818&amp;"   (MPU_S_OC_POL_IDX"&amp;A818&amp;" | MPU_S_OC_RW_IDX"&amp;A818&amp;")"</f>
        <v>#define MPU_S_OUTERCACHE_IDX2   (MPU_S_OC_POL_IDX2 | MPU_S_OC_RW_IDX2)</v>
      </c>
    </row>
    <row r="858" spans="1:2" x14ac:dyDescent="0.25">
      <c r="B858" s="18" t="s">
        <v>25</v>
      </c>
    </row>
    <row r="859" spans="1:2" x14ac:dyDescent="0.25">
      <c r="B859" s="18" t="str">
        <f>"#if (MPU_S_IC_POL_IDX"&amp;A818&amp;" == 0x01)"</f>
        <v>#if (MPU_S_IC_POL_IDX2 == 0x01)</v>
      </c>
    </row>
    <row r="860" spans="1:2" x14ac:dyDescent="0.25">
      <c r="B860" s="18" t="str">
        <f>"#define MPU_S_INNERCACHE_IDX"&amp;A818&amp;"   0x04"</f>
        <v>#define MPU_S_INNERCACHE_IDX2   0x04</v>
      </c>
    </row>
    <row r="861" spans="1:2" x14ac:dyDescent="0.25">
      <c r="B861" s="18" t="s">
        <v>24</v>
      </c>
    </row>
    <row r="862" spans="1:2" x14ac:dyDescent="0.25">
      <c r="B862" s="18" t="str">
        <f>"#define MPU_S_INNERCACHE_IDX"&amp;A818&amp;"   (MPU_S_IC_POL_IDX"&amp;A818&amp;" | MPU_S_IC_RW_IDX"&amp;A818&amp;")"</f>
        <v>#define MPU_S_INNERCACHE_IDX2   (MPU_S_IC_POL_IDX2 | MPU_S_IC_RW_IDX2)</v>
      </c>
    </row>
    <row r="863" spans="1:2" x14ac:dyDescent="0.25">
      <c r="B863" s="18" t="s">
        <v>25</v>
      </c>
    </row>
    <row r="864" spans="1:2" x14ac:dyDescent="0.25">
      <c r="B864" s="18" t="str">
        <f>"#if (MPU_S_TYPE_IDX"&amp;A818&amp;" == 0x01)"</f>
        <v>#if (MPU_S_TYPE_IDX2 == 0x01)</v>
      </c>
    </row>
    <row r="865" spans="1:2" x14ac:dyDescent="0.25">
      <c r="B865" s="18" t="str">
        <f>"#define MPU_S_VAL_IDX"&amp;A818&amp;"   (MPU_S_OUTERCACHE_IDX"&amp;A818&amp;" | MPU_S_INNERCACHE_IDX"&amp;A818&amp;")"</f>
        <v>#define MPU_S_VAL_IDX2   (MPU_S_OUTERCACHE_IDX2 | MPU_S_INNERCACHE_IDX2)</v>
      </c>
    </row>
    <row r="866" spans="1:2" x14ac:dyDescent="0.25">
      <c r="B866" s="18" t="s">
        <v>24</v>
      </c>
    </row>
    <row r="867" spans="1:2" x14ac:dyDescent="0.25">
      <c r="B867" s="18" t="str">
        <f>"#define MPU_S_VAL_IDX"&amp;A818&amp;"   MPU_S_TYPE_IDX"&amp;A818&amp;""</f>
        <v>#define MPU_S_VAL_IDX2   MPU_S_TYPE_IDX2</v>
      </c>
    </row>
    <row r="868" spans="1:2" x14ac:dyDescent="0.25">
      <c r="B868" s="18" t="s">
        <v>25</v>
      </c>
    </row>
    <row r="869" spans="1:2" x14ac:dyDescent="0.25">
      <c r="B869" s="18" t="str">
        <f>"//   &lt;/e&gt;   //MPU_S Attr Idx "&amp;A818</f>
        <v>//   &lt;/e&gt;   //MPU_S Attr Idx 2</v>
      </c>
    </row>
    <row r="870" spans="1:2" x14ac:dyDescent="0.25">
      <c r="A870" s="23">
        <f>A818+1</f>
        <v>3</v>
      </c>
      <c r="B870" s="18" t="str">
        <f>"// MPU_S IDX "&amp;A870&amp;" ********************************"</f>
        <v>// MPU_S IDX 3 ********************************</v>
      </c>
    </row>
    <row r="871" spans="1:2" x14ac:dyDescent="0.25">
      <c r="B871" s="18" t="str">
        <f>"//   &lt;e&gt;Initialize MPU_S Attr Idx "&amp;A870</f>
        <v>//   &lt;e&gt;Initialize MPU_S Attr Idx 3</v>
      </c>
    </row>
    <row r="872" spans="1:2" x14ac:dyDescent="0.25">
      <c r="A872" s="23">
        <f>A820+10</f>
        <v>198</v>
      </c>
      <c r="B872" s="18" t="str">
        <f ca="1">"#define MPU_S_INIT_IDX"&amp;A870&amp;"   "&amp;N(INDIRECT("CONFIG!A"&amp;A872))</f>
        <v>#define MPU_S_INIT_IDX3   0</v>
      </c>
    </row>
    <row r="873" spans="1:2" x14ac:dyDescent="0.25">
      <c r="B873" s="18" t="str">
        <f>"//   &lt;o&gt;Memory Access Type of Attr Idx "&amp;A870</f>
        <v>//   &lt;o&gt;Memory Access Type of Attr Idx 3</v>
      </c>
    </row>
    <row r="874" spans="1:2" x14ac:dyDescent="0.25">
      <c r="B874" s="18" t="s">
        <v>113</v>
      </c>
    </row>
    <row r="875" spans="1:2" x14ac:dyDescent="0.25">
      <c r="B875" s="18" t="s">
        <v>114</v>
      </c>
    </row>
    <row r="876" spans="1:2" x14ac:dyDescent="0.25">
      <c r="B876" s="18" t="s">
        <v>115</v>
      </c>
    </row>
    <row r="877" spans="1:2" x14ac:dyDescent="0.25">
      <c r="B877" s="18" t="s">
        <v>116</v>
      </c>
    </row>
    <row r="878" spans="1:2" x14ac:dyDescent="0.25">
      <c r="B878" s="18" t="s">
        <v>117</v>
      </c>
    </row>
    <row r="879" spans="1:2" x14ac:dyDescent="0.25">
      <c r="B879" s="18" t="s">
        <v>118</v>
      </c>
    </row>
    <row r="880" spans="1:2" x14ac:dyDescent="0.25">
      <c r="B880" s="18" t="s">
        <v>119</v>
      </c>
    </row>
    <row r="881" spans="1:2" x14ac:dyDescent="0.25">
      <c r="B881" s="18" t="s">
        <v>120</v>
      </c>
    </row>
    <row r="882" spans="1:2" x14ac:dyDescent="0.25">
      <c r="B882" s="18" t="s">
        <v>121</v>
      </c>
    </row>
    <row r="883" spans="1:2" x14ac:dyDescent="0.25">
      <c r="A883">
        <f>A872+2</f>
        <v>200</v>
      </c>
      <c r="B883" s="18" t="str" cm="1">
        <f t="array" aca="1" ref="B883" ca="1">"#define MPU_S_TYPE_IDX"&amp;A870&amp;"   "&amp;"0x"&amp;DEC2HEX(HEX2DEC(INDIRECT("CONFIG!A"&amp;INDIRECT("CONFIG!A"&amp;(A883))+264)),2)</f>
        <v>#define MPU_S_TYPE_IDX3   0x01</v>
      </c>
    </row>
    <row r="884" spans="1:2" x14ac:dyDescent="0.25">
      <c r="B884" s="18" t="str">
        <f>"//   &lt;h&gt;if Type of Attr Idx "&amp;A870&amp;" is NORMAL Memory"</f>
        <v>//   &lt;h&gt;if Type of Attr Idx 3 is NORMAL Memory</v>
      </c>
    </row>
    <row r="885" spans="1:2" x14ac:dyDescent="0.25">
      <c r="B885" s="18" t="s">
        <v>122</v>
      </c>
    </row>
    <row r="886" spans="1:2" x14ac:dyDescent="0.25">
      <c r="B886" s="18" t="s">
        <v>136</v>
      </c>
    </row>
    <row r="887" spans="1:2" x14ac:dyDescent="0.25">
      <c r="B887" s="18" t="s">
        <v>123</v>
      </c>
    </row>
    <row r="888" spans="1:2" x14ac:dyDescent="0.25">
      <c r="B888" s="18" t="s">
        <v>124</v>
      </c>
    </row>
    <row r="889" spans="1:2" x14ac:dyDescent="0.25">
      <c r="B889" s="18" t="s">
        <v>125</v>
      </c>
    </row>
    <row r="890" spans="1:2" x14ac:dyDescent="0.25">
      <c r="B890" s="18" t="s">
        <v>126</v>
      </c>
    </row>
    <row r="891" spans="1:2" x14ac:dyDescent="0.25">
      <c r="A891">
        <f>A883+1</f>
        <v>201</v>
      </c>
      <c r="B891" s="18" t="str" cm="1">
        <f t="array" aca="1" ref="B891" ca="1">"#define MPU_S_OC_POL_IDX"&amp;A870&amp;" 0x"&amp;DEC2HEX(16*HEX2DEC(INDIRECT("CONFIG!A"&amp;INDIRECT("CONFIG!A"&amp;(A891))+273)),2)</f>
        <v>#define MPU_S_OC_POL_IDX3 0x10</v>
      </c>
    </row>
    <row r="892" spans="1:2" x14ac:dyDescent="0.25">
      <c r="B892" s="18" t="s">
        <v>127</v>
      </c>
    </row>
    <row r="893" spans="1:2" x14ac:dyDescent="0.25">
      <c r="B893" s="18" t="s">
        <v>137</v>
      </c>
    </row>
    <row r="894" spans="1:2" x14ac:dyDescent="0.25">
      <c r="B894" s="18" t="s">
        <v>128</v>
      </c>
    </row>
    <row r="895" spans="1:2" x14ac:dyDescent="0.25">
      <c r="B895" s="18" t="s">
        <v>129</v>
      </c>
    </row>
    <row r="896" spans="1:2" x14ac:dyDescent="0.25">
      <c r="B896" s="18" t="s">
        <v>130</v>
      </c>
    </row>
    <row r="897" spans="1:2" x14ac:dyDescent="0.25">
      <c r="B897" s="18" t="s">
        <v>131</v>
      </c>
    </row>
    <row r="898" spans="1:2" x14ac:dyDescent="0.25">
      <c r="A898">
        <f>A891+3</f>
        <v>204</v>
      </c>
      <c r="B898" s="18" t="str" cm="1">
        <f t="array" aca="1" ref="B898" ca="1">"#define MPU_S_IC_POL_IDX"&amp;A870&amp;" 0x"&amp;DEC2HEX(HEX2DEC(INDIRECT("CONFIG!A"&amp;INDIRECT("CONFIG!A"&amp;(A898))+273)),2)</f>
        <v>#define MPU_S_IC_POL_IDX3 0x01</v>
      </c>
    </row>
    <row r="899" spans="1:2" x14ac:dyDescent="0.25">
      <c r="B899" s="18" t="s">
        <v>132</v>
      </c>
    </row>
    <row r="900" spans="1:2" x14ac:dyDescent="0.25">
      <c r="B900" s="18" t="s">
        <v>133</v>
      </c>
    </row>
    <row r="901" spans="1:2" x14ac:dyDescent="0.25">
      <c r="A901">
        <f>A891+1</f>
        <v>202</v>
      </c>
      <c r="B901" s="18" t="str" cm="1">
        <f t="array" aca="1" ref="B901" ca="1">"#define MPU_S_OC_RW_IDX"&amp;A870&amp;"  0x"&amp;DEC2HEX((16*INDIRECT("CONFIG!A"&amp;(A901))+(32*INDIRECT("CONFIG!A"&amp;(A902)))),2)</f>
        <v>#define MPU_S_OC_RW_IDX3  0x00</v>
      </c>
    </row>
    <row r="902" spans="1:2" x14ac:dyDescent="0.25">
      <c r="A902">
        <f>A901+1</f>
        <v>203</v>
      </c>
      <c r="B902" s="18" t="s">
        <v>134</v>
      </c>
    </row>
    <row r="903" spans="1:2" x14ac:dyDescent="0.25">
      <c r="B903" s="18" t="s">
        <v>135</v>
      </c>
    </row>
    <row r="904" spans="1:2" x14ac:dyDescent="0.25">
      <c r="A904">
        <f>A898+1</f>
        <v>205</v>
      </c>
      <c r="B904" s="18" t="str" cm="1">
        <f t="array" aca="1" ref="B904" ca="1">"#define MPU_S_IC_RW_IDX"&amp;A870&amp;"  0x"&amp;DEC2HEX((1*INDIRECT("CONFIG!A"&amp;(A904))+(2*INDIRECT("CONFIG!A"&amp;(A905)))),2)</f>
        <v>#define MPU_S_IC_RW_IDX3  0x00</v>
      </c>
    </row>
    <row r="905" spans="1:2" x14ac:dyDescent="0.25">
      <c r="A905">
        <f>A904+1</f>
        <v>206</v>
      </c>
      <c r="B905" s="18" t="str">
        <f>"//   &lt;/h&gt;   //if NORMAL Memory of IDX"&amp;A870</f>
        <v>//   &lt;/h&gt;   //if NORMAL Memory of IDX3</v>
      </c>
    </row>
    <row r="906" spans="1:2" x14ac:dyDescent="0.25">
      <c r="B906" s="18" t="str">
        <f>"#if (MPU_S_OC_POL_IDX"&amp;A870&amp;" == 0x10)"</f>
        <v>#if (MPU_S_OC_POL_IDX3 == 0x10)</v>
      </c>
    </row>
    <row r="907" spans="1:2" x14ac:dyDescent="0.25">
      <c r="B907" s="18" t="str">
        <f>"#define MPU_S_OUTERCACHE_IDX"&amp;A870&amp;"   0x40"</f>
        <v>#define MPU_S_OUTERCACHE_IDX3   0x40</v>
      </c>
    </row>
    <row r="908" spans="1:2" x14ac:dyDescent="0.25">
      <c r="B908" s="18" t="s">
        <v>24</v>
      </c>
    </row>
    <row r="909" spans="1:2" x14ac:dyDescent="0.25">
      <c r="B909" s="18" t="str">
        <f>"#define MPU_S_OUTERCACHE_IDX"&amp;A870&amp;"   (MPU_S_OC_POL_IDX"&amp;A870&amp;" | MPU_S_OC_RW_IDX"&amp;A870&amp;")"</f>
        <v>#define MPU_S_OUTERCACHE_IDX3   (MPU_S_OC_POL_IDX3 | MPU_S_OC_RW_IDX3)</v>
      </c>
    </row>
    <row r="910" spans="1:2" x14ac:dyDescent="0.25">
      <c r="B910" s="18" t="s">
        <v>25</v>
      </c>
    </row>
    <row r="911" spans="1:2" x14ac:dyDescent="0.25">
      <c r="B911" s="18" t="str">
        <f>"#if (MPU_S_IC_POL_IDX"&amp;A870&amp;" == 0x01)"</f>
        <v>#if (MPU_S_IC_POL_IDX3 == 0x01)</v>
      </c>
    </row>
    <row r="912" spans="1:2" x14ac:dyDescent="0.25">
      <c r="B912" s="18" t="str">
        <f>"#define MPU_S_INNERCACHE_IDX"&amp;A870&amp;"   0x04"</f>
        <v>#define MPU_S_INNERCACHE_IDX3   0x04</v>
      </c>
    </row>
    <row r="913" spans="1:2" x14ac:dyDescent="0.25">
      <c r="B913" s="18" t="s">
        <v>24</v>
      </c>
    </row>
    <row r="914" spans="1:2" x14ac:dyDescent="0.25">
      <c r="B914" s="18" t="str">
        <f>"#define MPU_S_INNERCACHE_IDX"&amp;A870&amp;"   (MPU_S_IC_POL_IDX"&amp;A870&amp;" | MPU_S_IC_RW_IDX"&amp;A870&amp;")"</f>
        <v>#define MPU_S_INNERCACHE_IDX3   (MPU_S_IC_POL_IDX3 | MPU_S_IC_RW_IDX3)</v>
      </c>
    </row>
    <row r="915" spans="1:2" x14ac:dyDescent="0.25">
      <c r="B915" s="18" t="s">
        <v>25</v>
      </c>
    </row>
    <row r="916" spans="1:2" x14ac:dyDescent="0.25">
      <c r="B916" s="18" t="str">
        <f>"#if (MPU_S_TYPE_IDX"&amp;A870&amp;" == 0x01)"</f>
        <v>#if (MPU_S_TYPE_IDX3 == 0x01)</v>
      </c>
    </row>
    <row r="917" spans="1:2" x14ac:dyDescent="0.25">
      <c r="B917" s="18" t="str">
        <f>"#define MPU_S_VAL_IDX"&amp;A870&amp;"   (MPU_S_OUTERCACHE_IDX"&amp;A870&amp;" | MPU_S_INNERCACHE_IDX"&amp;A870&amp;")"</f>
        <v>#define MPU_S_VAL_IDX3   (MPU_S_OUTERCACHE_IDX3 | MPU_S_INNERCACHE_IDX3)</v>
      </c>
    </row>
    <row r="918" spans="1:2" x14ac:dyDescent="0.25">
      <c r="B918" s="18" t="s">
        <v>24</v>
      </c>
    </row>
    <row r="919" spans="1:2" x14ac:dyDescent="0.25">
      <c r="B919" s="18" t="str">
        <f>"#define MPU_S_VAL_IDX"&amp;A870&amp;"   MPU_S_TYPE_IDX"&amp;A870&amp;""</f>
        <v>#define MPU_S_VAL_IDX3   MPU_S_TYPE_IDX3</v>
      </c>
    </row>
    <row r="920" spans="1:2" x14ac:dyDescent="0.25">
      <c r="B920" s="18" t="s">
        <v>25</v>
      </c>
    </row>
    <row r="921" spans="1:2" x14ac:dyDescent="0.25">
      <c r="B921" s="18" t="str">
        <f>"//   &lt;/e&gt;   //MPU_S Attr Idx "&amp;A870</f>
        <v>//   &lt;/e&gt;   //MPU_S Attr Idx 3</v>
      </c>
    </row>
    <row r="922" spans="1:2" x14ac:dyDescent="0.25">
      <c r="A922" s="23">
        <f>A870+1</f>
        <v>4</v>
      </c>
      <c r="B922" s="18" t="str">
        <f>"// MPU_S IDX "&amp;A922&amp;" ********************************"</f>
        <v>// MPU_S IDX 4 ********************************</v>
      </c>
    </row>
    <row r="923" spans="1:2" x14ac:dyDescent="0.25">
      <c r="B923" s="18" t="str">
        <f>"//   &lt;e&gt;Initialize MPU_S Attr Idx "&amp;A922</f>
        <v>//   &lt;e&gt;Initialize MPU_S Attr Idx 4</v>
      </c>
    </row>
    <row r="924" spans="1:2" x14ac:dyDescent="0.25">
      <c r="A924" s="23">
        <f>A872+10</f>
        <v>208</v>
      </c>
      <c r="B924" s="18" t="str">
        <f ca="1">"#define MPU_S_INIT_IDX"&amp;A922&amp;"   "&amp;N(INDIRECT("CONFIG!A"&amp;A924))</f>
        <v>#define MPU_S_INIT_IDX4   0</v>
      </c>
    </row>
    <row r="925" spans="1:2" x14ac:dyDescent="0.25">
      <c r="B925" s="18" t="str">
        <f>"//   &lt;o&gt;Memory Access Type of Attr Idx "&amp;A922</f>
        <v>//   &lt;o&gt;Memory Access Type of Attr Idx 4</v>
      </c>
    </row>
    <row r="926" spans="1:2" x14ac:dyDescent="0.25">
      <c r="B926" s="18" t="s">
        <v>113</v>
      </c>
    </row>
    <row r="927" spans="1:2" x14ac:dyDescent="0.25">
      <c r="B927" s="18" t="s">
        <v>114</v>
      </c>
    </row>
    <row r="928" spans="1:2" x14ac:dyDescent="0.25">
      <c r="B928" s="18" t="s">
        <v>115</v>
      </c>
    </row>
    <row r="929" spans="1:2" x14ac:dyDescent="0.25">
      <c r="B929" s="18" t="s">
        <v>116</v>
      </c>
    </row>
    <row r="930" spans="1:2" x14ac:dyDescent="0.25">
      <c r="B930" s="18" t="s">
        <v>117</v>
      </c>
    </row>
    <row r="931" spans="1:2" x14ac:dyDescent="0.25">
      <c r="B931" s="18" t="s">
        <v>118</v>
      </c>
    </row>
    <row r="932" spans="1:2" x14ac:dyDescent="0.25">
      <c r="B932" s="18" t="s">
        <v>119</v>
      </c>
    </row>
    <row r="933" spans="1:2" x14ac:dyDescent="0.25">
      <c r="B933" s="18" t="s">
        <v>120</v>
      </c>
    </row>
    <row r="934" spans="1:2" x14ac:dyDescent="0.25">
      <c r="B934" s="18" t="s">
        <v>121</v>
      </c>
    </row>
    <row r="935" spans="1:2" x14ac:dyDescent="0.25">
      <c r="A935">
        <f>A924+2</f>
        <v>210</v>
      </c>
      <c r="B935" s="18" t="str" cm="1">
        <f t="array" aca="1" ref="B935" ca="1">"#define MPU_S_TYPE_IDX"&amp;A922&amp;"   "&amp;"0x"&amp;DEC2HEX(HEX2DEC(INDIRECT("CONFIG!A"&amp;INDIRECT("CONFIG!A"&amp;(A935))+264)),2)</f>
        <v>#define MPU_S_TYPE_IDX4   0x01</v>
      </c>
    </row>
    <row r="936" spans="1:2" x14ac:dyDescent="0.25">
      <c r="B936" s="18" t="str">
        <f>"//   &lt;h&gt;if Type of Attr Idx "&amp;A922&amp;" is NORMAL Memory"</f>
        <v>//   &lt;h&gt;if Type of Attr Idx 4 is NORMAL Memory</v>
      </c>
    </row>
    <row r="937" spans="1:2" x14ac:dyDescent="0.25">
      <c r="B937" s="18" t="s">
        <v>122</v>
      </c>
    </row>
    <row r="938" spans="1:2" x14ac:dyDescent="0.25">
      <c r="B938" s="18" t="s">
        <v>136</v>
      </c>
    </row>
    <row r="939" spans="1:2" x14ac:dyDescent="0.25">
      <c r="B939" s="18" t="s">
        <v>123</v>
      </c>
    </row>
    <row r="940" spans="1:2" x14ac:dyDescent="0.25">
      <c r="B940" s="18" t="s">
        <v>124</v>
      </c>
    </row>
    <row r="941" spans="1:2" x14ac:dyDescent="0.25">
      <c r="B941" s="18" t="s">
        <v>125</v>
      </c>
    </row>
    <row r="942" spans="1:2" x14ac:dyDescent="0.25">
      <c r="B942" s="18" t="s">
        <v>126</v>
      </c>
    </row>
    <row r="943" spans="1:2" x14ac:dyDescent="0.25">
      <c r="A943">
        <f>A935+1</f>
        <v>211</v>
      </c>
      <c r="B943" s="18" t="str" cm="1">
        <f t="array" aca="1" ref="B943" ca="1">"#define MPU_S_OC_POL_IDX"&amp;A922&amp;" 0x"&amp;DEC2HEX(16*HEX2DEC(INDIRECT("CONFIG!A"&amp;INDIRECT("CONFIG!A"&amp;(A943))+273)),2)</f>
        <v>#define MPU_S_OC_POL_IDX4 0x00</v>
      </c>
    </row>
    <row r="944" spans="1:2" x14ac:dyDescent="0.25">
      <c r="B944" s="18" t="s">
        <v>127</v>
      </c>
    </row>
    <row r="945" spans="1:2" x14ac:dyDescent="0.25">
      <c r="B945" s="18" t="s">
        <v>137</v>
      </c>
    </row>
    <row r="946" spans="1:2" x14ac:dyDescent="0.25">
      <c r="B946" s="18" t="s">
        <v>128</v>
      </c>
    </row>
    <row r="947" spans="1:2" x14ac:dyDescent="0.25">
      <c r="B947" s="18" t="s">
        <v>129</v>
      </c>
    </row>
    <row r="948" spans="1:2" x14ac:dyDescent="0.25">
      <c r="B948" s="18" t="s">
        <v>130</v>
      </c>
    </row>
    <row r="949" spans="1:2" x14ac:dyDescent="0.25">
      <c r="B949" s="18" t="s">
        <v>131</v>
      </c>
    </row>
    <row r="950" spans="1:2" x14ac:dyDescent="0.25">
      <c r="A950">
        <f>A943+3</f>
        <v>214</v>
      </c>
      <c r="B950" s="18" t="str" cm="1">
        <f t="array" aca="1" ref="B950" ca="1">"#define MPU_S_IC_POL_IDX"&amp;A922&amp;" 0x"&amp;DEC2HEX(HEX2DEC(INDIRECT("CONFIG!A"&amp;INDIRECT("CONFIG!A"&amp;(A950))+273)),2)</f>
        <v>#define MPU_S_IC_POL_IDX4 0x01</v>
      </c>
    </row>
    <row r="951" spans="1:2" x14ac:dyDescent="0.25">
      <c r="B951" s="18" t="s">
        <v>132</v>
      </c>
    </row>
    <row r="952" spans="1:2" x14ac:dyDescent="0.25">
      <c r="B952" s="18" t="s">
        <v>133</v>
      </c>
    </row>
    <row r="953" spans="1:2" x14ac:dyDescent="0.25">
      <c r="A953">
        <f>A943+1</f>
        <v>212</v>
      </c>
      <c r="B953" s="18" t="str" cm="1">
        <f t="array" aca="1" ref="B953" ca="1">"#define MPU_S_OC_RW_IDX"&amp;A922&amp;"  0x"&amp;DEC2HEX((16*INDIRECT("CONFIG!A"&amp;(A953))+(32*INDIRECT("CONFIG!A"&amp;(A954)))),2)</f>
        <v>#define MPU_S_OC_RW_IDX4  0x00</v>
      </c>
    </row>
    <row r="954" spans="1:2" x14ac:dyDescent="0.25">
      <c r="A954">
        <f>A953+1</f>
        <v>213</v>
      </c>
      <c r="B954" s="18" t="s">
        <v>134</v>
      </c>
    </row>
    <row r="955" spans="1:2" x14ac:dyDescent="0.25">
      <c r="B955" s="18" t="s">
        <v>135</v>
      </c>
    </row>
    <row r="956" spans="1:2" x14ac:dyDescent="0.25">
      <c r="A956">
        <f>A950+1</f>
        <v>215</v>
      </c>
      <c r="B956" s="18" t="str" cm="1">
        <f t="array" aca="1" ref="B956" ca="1">"#define MPU_S_IC_RW_IDX"&amp;A922&amp;"  0x"&amp;DEC2HEX((1*INDIRECT("CONFIG!A"&amp;(A956))+(2*INDIRECT("CONFIG!A"&amp;(A957)))),2)</f>
        <v>#define MPU_S_IC_RW_IDX4  0x00</v>
      </c>
    </row>
    <row r="957" spans="1:2" x14ac:dyDescent="0.25">
      <c r="A957">
        <f>A956+1</f>
        <v>216</v>
      </c>
      <c r="B957" s="18" t="str">
        <f>"//   &lt;/h&gt;   //if NORMAL Memory of IDX"&amp;A922</f>
        <v>//   &lt;/h&gt;   //if NORMAL Memory of IDX4</v>
      </c>
    </row>
    <row r="958" spans="1:2" x14ac:dyDescent="0.25">
      <c r="B958" s="18" t="str">
        <f>"#if (MPU_S_OC_POL_IDX"&amp;A922&amp;" == 0x10)"</f>
        <v>#if (MPU_S_OC_POL_IDX4 == 0x10)</v>
      </c>
    </row>
    <row r="959" spans="1:2" x14ac:dyDescent="0.25">
      <c r="B959" s="18" t="str">
        <f>"#define MPU_S_OUTERCACHE_IDX"&amp;A922&amp;"   0x40"</f>
        <v>#define MPU_S_OUTERCACHE_IDX4   0x40</v>
      </c>
    </row>
    <row r="960" spans="1:2" x14ac:dyDescent="0.25">
      <c r="B960" s="18" t="s">
        <v>24</v>
      </c>
    </row>
    <row r="961" spans="1:2" x14ac:dyDescent="0.25">
      <c r="B961" s="18" t="str">
        <f>"#define MPU_S_OUTERCACHE_IDX"&amp;A922&amp;"   (MPU_S_OC_POL_IDX"&amp;A922&amp;" | MPU_S_OC_RW_IDX"&amp;A922&amp;")"</f>
        <v>#define MPU_S_OUTERCACHE_IDX4   (MPU_S_OC_POL_IDX4 | MPU_S_OC_RW_IDX4)</v>
      </c>
    </row>
    <row r="962" spans="1:2" x14ac:dyDescent="0.25">
      <c r="B962" s="18" t="s">
        <v>25</v>
      </c>
    </row>
    <row r="963" spans="1:2" x14ac:dyDescent="0.25">
      <c r="B963" s="18" t="str">
        <f>"#if (MPU_S_IC_POL_IDX"&amp;A922&amp;" == 0x01)"</f>
        <v>#if (MPU_S_IC_POL_IDX4 == 0x01)</v>
      </c>
    </row>
    <row r="964" spans="1:2" x14ac:dyDescent="0.25">
      <c r="B964" s="18" t="str">
        <f>"#define MPU_S_INNERCACHE_IDX"&amp;A922&amp;"   0x04"</f>
        <v>#define MPU_S_INNERCACHE_IDX4   0x04</v>
      </c>
    </row>
    <row r="965" spans="1:2" x14ac:dyDescent="0.25">
      <c r="B965" s="18" t="s">
        <v>24</v>
      </c>
    </row>
    <row r="966" spans="1:2" x14ac:dyDescent="0.25">
      <c r="B966" s="18" t="str">
        <f>"#define MPU_S_INNERCACHE_IDX"&amp;A922&amp;"   (MPU_S_IC_POL_IDX"&amp;A922&amp;" | MPU_S_IC_RW_IDX"&amp;A922&amp;")"</f>
        <v>#define MPU_S_INNERCACHE_IDX4   (MPU_S_IC_POL_IDX4 | MPU_S_IC_RW_IDX4)</v>
      </c>
    </row>
    <row r="967" spans="1:2" x14ac:dyDescent="0.25">
      <c r="B967" s="18" t="s">
        <v>25</v>
      </c>
    </row>
    <row r="968" spans="1:2" x14ac:dyDescent="0.25">
      <c r="B968" s="18" t="str">
        <f>"#if (MPU_S_TYPE_IDX"&amp;A922&amp;" == 0x01)"</f>
        <v>#if (MPU_S_TYPE_IDX4 == 0x01)</v>
      </c>
    </row>
    <row r="969" spans="1:2" x14ac:dyDescent="0.25">
      <c r="B969" s="18" t="str">
        <f>"#define MPU_S_VAL_IDX"&amp;A922&amp;"   (MPU_S_OUTERCACHE_IDX"&amp;A922&amp;" | MPU_S_INNERCACHE_IDX"&amp;A922&amp;")"</f>
        <v>#define MPU_S_VAL_IDX4   (MPU_S_OUTERCACHE_IDX4 | MPU_S_INNERCACHE_IDX4)</v>
      </c>
    </row>
    <row r="970" spans="1:2" x14ac:dyDescent="0.25">
      <c r="B970" s="18" t="s">
        <v>24</v>
      </c>
    </row>
    <row r="971" spans="1:2" x14ac:dyDescent="0.25">
      <c r="B971" s="18" t="str">
        <f>"#define MPU_S_VAL_IDX"&amp;A922&amp;"   MPU_S_TYPE_IDX"&amp;A922&amp;""</f>
        <v>#define MPU_S_VAL_IDX4   MPU_S_TYPE_IDX4</v>
      </c>
    </row>
    <row r="972" spans="1:2" x14ac:dyDescent="0.25">
      <c r="B972" s="18" t="s">
        <v>25</v>
      </c>
    </row>
    <row r="973" spans="1:2" x14ac:dyDescent="0.25">
      <c r="B973" s="18" t="str">
        <f>"//   &lt;/e&gt;   //MPU_S Attr Idx "&amp;A922</f>
        <v>//   &lt;/e&gt;   //MPU_S Attr Idx 4</v>
      </c>
    </row>
    <row r="974" spans="1:2" x14ac:dyDescent="0.25">
      <c r="A974" s="23">
        <f>A922+1</f>
        <v>5</v>
      </c>
      <c r="B974" s="18" t="str">
        <f>"// MPU_S IDX "&amp;A974&amp;" ********************************"</f>
        <v>// MPU_S IDX 5 ********************************</v>
      </c>
    </row>
    <row r="975" spans="1:2" x14ac:dyDescent="0.25">
      <c r="B975" s="18" t="str">
        <f>"//   &lt;e&gt;Initialize MPU_S Attr Idx "&amp;A974</f>
        <v>//   &lt;e&gt;Initialize MPU_S Attr Idx 5</v>
      </c>
    </row>
    <row r="976" spans="1:2" x14ac:dyDescent="0.25">
      <c r="A976" s="23">
        <f>A924+10</f>
        <v>218</v>
      </c>
      <c r="B976" s="18" t="str">
        <f ca="1">"#define MPU_S_INIT_IDX"&amp;A974&amp;"   "&amp;N(INDIRECT("CONFIG!A"&amp;A976))</f>
        <v>#define MPU_S_INIT_IDX5   0</v>
      </c>
    </row>
    <row r="977" spans="1:2" x14ac:dyDescent="0.25">
      <c r="B977" s="18" t="str">
        <f>"//   &lt;o&gt;Memory Access Type of Attr Idx "&amp;A974</f>
        <v>//   &lt;o&gt;Memory Access Type of Attr Idx 5</v>
      </c>
    </row>
    <row r="978" spans="1:2" x14ac:dyDescent="0.25">
      <c r="B978" s="18" t="s">
        <v>113</v>
      </c>
    </row>
    <row r="979" spans="1:2" x14ac:dyDescent="0.25">
      <c r="B979" s="18" t="s">
        <v>114</v>
      </c>
    </row>
    <row r="980" spans="1:2" x14ac:dyDescent="0.25">
      <c r="B980" s="18" t="s">
        <v>115</v>
      </c>
    </row>
    <row r="981" spans="1:2" x14ac:dyDescent="0.25">
      <c r="B981" s="18" t="s">
        <v>116</v>
      </c>
    </row>
    <row r="982" spans="1:2" x14ac:dyDescent="0.25">
      <c r="B982" s="18" t="s">
        <v>117</v>
      </c>
    </row>
    <row r="983" spans="1:2" x14ac:dyDescent="0.25">
      <c r="B983" s="18" t="s">
        <v>118</v>
      </c>
    </row>
    <row r="984" spans="1:2" x14ac:dyDescent="0.25">
      <c r="B984" s="18" t="s">
        <v>119</v>
      </c>
    </row>
    <row r="985" spans="1:2" x14ac:dyDescent="0.25">
      <c r="B985" s="18" t="s">
        <v>120</v>
      </c>
    </row>
    <row r="986" spans="1:2" x14ac:dyDescent="0.25">
      <c r="B986" s="18" t="s">
        <v>121</v>
      </c>
    </row>
    <row r="987" spans="1:2" x14ac:dyDescent="0.25">
      <c r="A987">
        <f>A976+2</f>
        <v>220</v>
      </c>
      <c r="B987" s="18" t="str" cm="1">
        <f t="array" aca="1" ref="B987" ca="1">"#define MPU_S_TYPE_IDX"&amp;A974&amp;"   "&amp;"0x"&amp;DEC2HEX(HEX2DEC(INDIRECT("CONFIG!A"&amp;INDIRECT("CONFIG!A"&amp;(A987))+264)),2)</f>
        <v>#define MPU_S_TYPE_IDX5   0x01</v>
      </c>
    </row>
    <row r="988" spans="1:2" x14ac:dyDescent="0.25">
      <c r="B988" s="18" t="str">
        <f>"//   &lt;h&gt;if Type of Attr Idx "&amp;A974&amp;" is NORMAL Memory"</f>
        <v>//   &lt;h&gt;if Type of Attr Idx 5 is NORMAL Memory</v>
      </c>
    </row>
    <row r="989" spans="1:2" x14ac:dyDescent="0.25">
      <c r="B989" s="18" t="s">
        <v>122</v>
      </c>
    </row>
    <row r="990" spans="1:2" x14ac:dyDescent="0.25">
      <c r="B990" s="18" t="s">
        <v>136</v>
      </c>
    </row>
    <row r="991" spans="1:2" x14ac:dyDescent="0.25">
      <c r="B991" s="18" t="s">
        <v>123</v>
      </c>
    </row>
    <row r="992" spans="1:2" x14ac:dyDescent="0.25">
      <c r="B992" s="18" t="s">
        <v>124</v>
      </c>
    </row>
    <row r="993" spans="1:2" x14ac:dyDescent="0.25">
      <c r="B993" s="18" t="s">
        <v>125</v>
      </c>
    </row>
    <row r="994" spans="1:2" x14ac:dyDescent="0.25">
      <c r="B994" s="18" t="s">
        <v>126</v>
      </c>
    </row>
    <row r="995" spans="1:2" x14ac:dyDescent="0.25">
      <c r="A995">
        <f>A987+1</f>
        <v>221</v>
      </c>
      <c r="B995" s="18" t="str" cm="1">
        <f t="array" aca="1" ref="B995" ca="1">"#define MPU_S_OC_POL_IDX"&amp;A974&amp;" 0x"&amp;DEC2HEX(16*HEX2DEC(INDIRECT("CONFIG!A"&amp;INDIRECT("CONFIG!A"&amp;(A995))+273)),2)</f>
        <v>#define MPU_S_OC_POL_IDX5 0x10</v>
      </c>
    </row>
    <row r="996" spans="1:2" x14ac:dyDescent="0.25">
      <c r="B996" s="18" t="s">
        <v>127</v>
      </c>
    </row>
    <row r="997" spans="1:2" x14ac:dyDescent="0.25">
      <c r="B997" s="18" t="s">
        <v>137</v>
      </c>
    </row>
    <row r="998" spans="1:2" x14ac:dyDescent="0.25">
      <c r="B998" s="18" t="s">
        <v>128</v>
      </c>
    </row>
    <row r="999" spans="1:2" x14ac:dyDescent="0.25">
      <c r="B999" s="18" t="s">
        <v>129</v>
      </c>
    </row>
    <row r="1000" spans="1:2" x14ac:dyDescent="0.25">
      <c r="B1000" s="18" t="s">
        <v>130</v>
      </c>
    </row>
    <row r="1001" spans="1:2" x14ac:dyDescent="0.25">
      <c r="B1001" s="18" t="s">
        <v>131</v>
      </c>
    </row>
    <row r="1002" spans="1:2" x14ac:dyDescent="0.25">
      <c r="A1002">
        <f>A995+3</f>
        <v>224</v>
      </c>
      <c r="B1002" s="18" t="str" cm="1">
        <f t="array" aca="1" ref="B1002" ca="1">"#define MPU_S_IC_POL_IDX"&amp;A974&amp;" 0x"&amp;DEC2HEX(HEX2DEC(INDIRECT("CONFIG!A"&amp;INDIRECT("CONFIG!A"&amp;(A1002))+273)),2)</f>
        <v>#define MPU_S_IC_POL_IDX5 0x01</v>
      </c>
    </row>
    <row r="1003" spans="1:2" x14ac:dyDescent="0.25">
      <c r="B1003" s="18" t="s">
        <v>132</v>
      </c>
    </row>
    <row r="1004" spans="1:2" x14ac:dyDescent="0.25">
      <c r="B1004" s="18" t="s">
        <v>133</v>
      </c>
    </row>
    <row r="1005" spans="1:2" x14ac:dyDescent="0.25">
      <c r="A1005">
        <f>A995+1</f>
        <v>222</v>
      </c>
      <c r="B1005" s="18" t="str" cm="1">
        <f t="array" aca="1" ref="B1005" ca="1">"#define MPU_S_OC_RW_IDX"&amp;A974&amp;"  0x"&amp;DEC2HEX((16*INDIRECT("CONFIG!A"&amp;(A1005))+(32*INDIRECT("CONFIG!A"&amp;(A1006)))),2)</f>
        <v>#define MPU_S_OC_RW_IDX5  0x00</v>
      </c>
    </row>
    <row r="1006" spans="1:2" x14ac:dyDescent="0.25">
      <c r="A1006">
        <f>A1005+1</f>
        <v>223</v>
      </c>
      <c r="B1006" s="18" t="s">
        <v>134</v>
      </c>
    </row>
    <row r="1007" spans="1:2" x14ac:dyDescent="0.25">
      <c r="B1007" s="18" t="s">
        <v>135</v>
      </c>
    </row>
    <row r="1008" spans="1:2" x14ac:dyDescent="0.25">
      <c r="A1008">
        <f>A1002+1</f>
        <v>225</v>
      </c>
      <c r="B1008" s="18" t="str" cm="1">
        <f t="array" aca="1" ref="B1008" ca="1">"#define MPU_S_IC_RW_IDX"&amp;A974&amp;"  0x"&amp;DEC2HEX((1*INDIRECT("CONFIG!A"&amp;(A1008))+(2*INDIRECT("CONFIG!A"&amp;(A1009)))),2)</f>
        <v>#define MPU_S_IC_RW_IDX5  0x00</v>
      </c>
    </row>
    <row r="1009" spans="1:2" x14ac:dyDescent="0.25">
      <c r="A1009">
        <f>A1008+1</f>
        <v>226</v>
      </c>
      <c r="B1009" s="18" t="str">
        <f>"//   &lt;/h&gt;   //if NORMAL Memory of IDX"&amp;A974</f>
        <v>//   &lt;/h&gt;   //if NORMAL Memory of IDX5</v>
      </c>
    </row>
    <row r="1010" spans="1:2" x14ac:dyDescent="0.25">
      <c r="B1010" s="18" t="str">
        <f>"#if (MPU_S_OC_POL_IDX"&amp;A974&amp;" == 0x10)"</f>
        <v>#if (MPU_S_OC_POL_IDX5 == 0x10)</v>
      </c>
    </row>
    <row r="1011" spans="1:2" x14ac:dyDescent="0.25">
      <c r="B1011" s="18" t="str">
        <f>"#define MPU_S_OUTERCACHE_IDX"&amp;A974&amp;"   0x40"</f>
        <v>#define MPU_S_OUTERCACHE_IDX5   0x40</v>
      </c>
    </row>
    <row r="1012" spans="1:2" x14ac:dyDescent="0.25">
      <c r="B1012" s="18" t="s">
        <v>24</v>
      </c>
    </row>
    <row r="1013" spans="1:2" x14ac:dyDescent="0.25">
      <c r="B1013" s="18" t="str">
        <f>"#define MPU_S_OUTERCACHE_IDX"&amp;A974&amp;"   (MPU_S_OC_POL_IDX"&amp;A974&amp;" | MPU_S_OC_RW_IDX"&amp;A974&amp;")"</f>
        <v>#define MPU_S_OUTERCACHE_IDX5   (MPU_S_OC_POL_IDX5 | MPU_S_OC_RW_IDX5)</v>
      </c>
    </row>
    <row r="1014" spans="1:2" x14ac:dyDescent="0.25">
      <c r="B1014" s="18" t="s">
        <v>25</v>
      </c>
    </row>
    <row r="1015" spans="1:2" x14ac:dyDescent="0.25">
      <c r="B1015" s="18" t="str">
        <f>"#if (MPU_S_IC_POL_IDX"&amp;A974&amp;" == 0x01)"</f>
        <v>#if (MPU_S_IC_POL_IDX5 == 0x01)</v>
      </c>
    </row>
    <row r="1016" spans="1:2" x14ac:dyDescent="0.25">
      <c r="B1016" s="18" t="str">
        <f>"#define MPU_S_INNERCACHE_IDX"&amp;A974&amp;"   0x04"</f>
        <v>#define MPU_S_INNERCACHE_IDX5   0x04</v>
      </c>
    </row>
    <row r="1017" spans="1:2" x14ac:dyDescent="0.25">
      <c r="B1017" s="18" t="s">
        <v>24</v>
      </c>
    </row>
    <row r="1018" spans="1:2" x14ac:dyDescent="0.25">
      <c r="B1018" s="18" t="str">
        <f>"#define MPU_S_INNERCACHE_IDX"&amp;A974&amp;"   (MPU_S_IC_POL_IDX"&amp;A974&amp;" | MPU_S_IC_RW_IDX"&amp;A974&amp;")"</f>
        <v>#define MPU_S_INNERCACHE_IDX5   (MPU_S_IC_POL_IDX5 | MPU_S_IC_RW_IDX5)</v>
      </c>
    </row>
    <row r="1019" spans="1:2" x14ac:dyDescent="0.25">
      <c r="B1019" s="18" t="s">
        <v>25</v>
      </c>
    </row>
    <row r="1020" spans="1:2" x14ac:dyDescent="0.25">
      <c r="B1020" s="18" t="str">
        <f>"#if (MPU_S_TYPE_IDX"&amp;A974&amp;" == 0x01)"</f>
        <v>#if (MPU_S_TYPE_IDX5 == 0x01)</v>
      </c>
    </row>
    <row r="1021" spans="1:2" x14ac:dyDescent="0.25">
      <c r="B1021" s="18" t="str">
        <f>"#define MPU_S_VAL_IDX"&amp;A974&amp;"   (MPU_S_OUTERCACHE_IDX"&amp;A974&amp;" | MPU_S_INNERCACHE_IDX"&amp;A974&amp;")"</f>
        <v>#define MPU_S_VAL_IDX5   (MPU_S_OUTERCACHE_IDX5 | MPU_S_INNERCACHE_IDX5)</v>
      </c>
    </row>
    <row r="1022" spans="1:2" x14ac:dyDescent="0.25">
      <c r="B1022" s="18" t="s">
        <v>24</v>
      </c>
    </row>
    <row r="1023" spans="1:2" x14ac:dyDescent="0.25">
      <c r="B1023" s="18" t="str">
        <f>"#define MPU_S_VAL_IDX"&amp;A974&amp;"   MPU_S_TYPE_IDX"&amp;A974&amp;""</f>
        <v>#define MPU_S_VAL_IDX5   MPU_S_TYPE_IDX5</v>
      </c>
    </row>
    <row r="1024" spans="1:2" x14ac:dyDescent="0.25">
      <c r="B1024" s="18" t="s">
        <v>25</v>
      </c>
    </row>
    <row r="1025" spans="1:2" x14ac:dyDescent="0.25">
      <c r="B1025" s="18" t="str">
        <f>"//   &lt;/e&gt;   //MPU_S Attr Idx "&amp;A974</f>
        <v>//   &lt;/e&gt;   //MPU_S Attr Idx 5</v>
      </c>
    </row>
    <row r="1026" spans="1:2" x14ac:dyDescent="0.25">
      <c r="A1026" s="23">
        <f>A974+1</f>
        <v>6</v>
      </c>
      <c r="B1026" s="18" t="str">
        <f>"// MPU_S IDX "&amp;A1026&amp;" ********************************"</f>
        <v>// MPU_S IDX 6 ********************************</v>
      </c>
    </row>
    <row r="1027" spans="1:2" x14ac:dyDescent="0.25">
      <c r="B1027" s="18" t="str">
        <f>"//   &lt;e&gt;Initialize MPU_S Attr Idx "&amp;A1026</f>
        <v>//   &lt;e&gt;Initialize MPU_S Attr Idx 6</v>
      </c>
    </row>
    <row r="1028" spans="1:2" x14ac:dyDescent="0.25">
      <c r="A1028" s="23">
        <f>A976+10</f>
        <v>228</v>
      </c>
      <c r="B1028" s="18" t="str">
        <f ca="1">"#define MPU_S_INIT_IDX"&amp;A1026&amp;"   "&amp;N(INDIRECT("CONFIG!A"&amp;A1028))</f>
        <v>#define MPU_S_INIT_IDX6   0</v>
      </c>
    </row>
    <row r="1029" spans="1:2" x14ac:dyDescent="0.25">
      <c r="B1029" s="18" t="str">
        <f>"//   &lt;o&gt;Memory Access Type of Attr Idx "&amp;A1026</f>
        <v>//   &lt;o&gt;Memory Access Type of Attr Idx 6</v>
      </c>
    </row>
    <row r="1030" spans="1:2" x14ac:dyDescent="0.25">
      <c r="B1030" s="18" t="s">
        <v>113</v>
      </c>
    </row>
    <row r="1031" spans="1:2" x14ac:dyDescent="0.25">
      <c r="B1031" s="18" t="s">
        <v>114</v>
      </c>
    </row>
    <row r="1032" spans="1:2" x14ac:dyDescent="0.25">
      <c r="B1032" s="18" t="s">
        <v>115</v>
      </c>
    </row>
    <row r="1033" spans="1:2" x14ac:dyDescent="0.25">
      <c r="B1033" s="18" t="s">
        <v>116</v>
      </c>
    </row>
    <row r="1034" spans="1:2" x14ac:dyDescent="0.25">
      <c r="B1034" s="18" t="s">
        <v>117</v>
      </c>
    </row>
    <row r="1035" spans="1:2" x14ac:dyDescent="0.25">
      <c r="B1035" s="18" t="s">
        <v>118</v>
      </c>
    </row>
    <row r="1036" spans="1:2" x14ac:dyDescent="0.25">
      <c r="B1036" s="18" t="s">
        <v>119</v>
      </c>
    </row>
    <row r="1037" spans="1:2" x14ac:dyDescent="0.25">
      <c r="B1037" s="18" t="s">
        <v>120</v>
      </c>
    </row>
    <row r="1038" spans="1:2" x14ac:dyDescent="0.25">
      <c r="B1038" s="18" t="s">
        <v>121</v>
      </c>
    </row>
    <row r="1039" spans="1:2" x14ac:dyDescent="0.25">
      <c r="A1039">
        <f>A1028+2</f>
        <v>230</v>
      </c>
      <c r="B1039" s="18" t="str" cm="1">
        <f t="array" aca="1" ref="B1039" ca="1">"#define MPU_S_TYPE_IDX"&amp;A1026&amp;"   "&amp;"0x"&amp;DEC2HEX(HEX2DEC(INDIRECT("CONFIG!A"&amp;INDIRECT("CONFIG!A"&amp;(A1039))+264)),2)</f>
        <v>#define MPU_S_TYPE_IDX6   0x01</v>
      </c>
    </row>
    <row r="1040" spans="1:2" x14ac:dyDescent="0.25">
      <c r="B1040" s="18" t="str">
        <f>"//   &lt;h&gt;if Type of Attr Idx "&amp;A1026&amp;" is NORMAL Memory"</f>
        <v>//   &lt;h&gt;if Type of Attr Idx 6 is NORMAL Memory</v>
      </c>
    </row>
    <row r="1041" spans="1:2" x14ac:dyDescent="0.25">
      <c r="B1041" s="18" t="s">
        <v>122</v>
      </c>
    </row>
    <row r="1042" spans="1:2" x14ac:dyDescent="0.25">
      <c r="B1042" s="18" t="s">
        <v>136</v>
      </c>
    </row>
    <row r="1043" spans="1:2" x14ac:dyDescent="0.25">
      <c r="B1043" s="18" t="s">
        <v>123</v>
      </c>
    </row>
    <row r="1044" spans="1:2" x14ac:dyDescent="0.25">
      <c r="B1044" s="18" t="s">
        <v>124</v>
      </c>
    </row>
    <row r="1045" spans="1:2" x14ac:dyDescent="0.25">
      <c r="B1045" s="18" t="s">
        <v>125</v>
      </c>
    </row>
    <row r="1046" spans="1:2" x14ac:dyDescent="0.25">
      <c r="B1046" s="18" t="s">
        <v>126</v>
      </c>
    </row>
    <row r="1047" spans="1:2" x14ac:dyDescent="0.25">
      <c r="A1047">
        <f>A1039+1</f>
        <v>231</v>
      </c>
      <c r="B1047" s="18" t="str" cm="1">
        <f t="array" aca="1" ref="B1047" ca="1">"#define MPU_S_OC_POL_IDX"&amp;A1026&amp;" 0x"&amp;DEC2HEX(16*HEX2DEC(INDIRECT("CONFIG!A"&amp;INDIRECT("CONFIG!A"&amp;(A1047))+273)),2)</f>
        <v>#define MPU_S_OC_POL_IDX6 0x10</v>
      </c>
    </row>
    <row r="1048" spans="1:2" x14ac:dyDescent="0.25">
      <c r="B1048" s="18" t="s">
        <v>127</v>
      </c>
    </row>
    <row r="1049" spans="1:2" x14ac:dyDescent="0.25">
      <c r="B1049" s="18" t="s">
        <v>137</v>
      </c>
    </row>
    <row r="1050" spans="1:2" x14ac:dyDescent="0.25">
      <c r="B1050" s="18" t="s">
        <v>128</v>
      </c>
    </row>
    <row r="1051" spans="1:2" x14ac:dyDescent="0.25">
      <c r="B1051" s="18" t="s">
        <v>129</v>
      </c>
    </row>
    <row r="1052" spans="1:2" x14ac:dyDescent="0.25">
      <c r="B1052" s="18" t="s">
        <v>130</v>
      </c>
    </row>
    <row r="1053" spans="1:2" x14ac:dyDescent="0.25">
      <c r="B1053" s="18" t="s">
        <v>131</v>
      </c>
    </row>
    <row r="1054" spans="1:2" x14ac:dyDescent="0.25">
      <c r="A1054">
        <f>A1047+3</f>
        <v>234</v>
      </c>
      <c r="B1054" s="18" t="str" cm="1">
        <f t="array" aca="1" ref="B1054" ca="1">"#define MPU_S_IC_POL_IDX"&amp;A1026&amp;" 0x"&amp;DEC2HEX(HEX2DEC(INDIRECT("CONFIG!A"&amp;INDIRECT("CONFIG!A"&amp;(A1054))+273)),2)</f>
        <v>#define MPU_S_IC_POL_IDX6 0x01</v>
      </c>
    </row>
    <row r="1055" spans="1:2" x14ac:dyDescent="0.25">
      <c r="B1055" s="18" t="s">
        <v>132</v>
      </c>
    </row>
    <row r="1056" spans="1:2" x14ac:dyDescent="0.25">
      <c r="B1056" s="18" t="s">
        <v>133</v>
      </c>
    </row>
    <row r="1057" spans="1:2" x14ac:dyDescent="0.25">
      <c r="A1057">
        <f>A1047+1</f>
        <v>232</v>
      </c>
      <c r="B1057" s="18" t="str" cm="1">
        <f t="array" aca="1" ref="B1057" ca="1">"#define MPU_S_OC_RW_IDX"&amp;A1026&amp;"  0x"&amp;DEC2HEX((16*INDIRECT("CONFIG!A"&amp;(A1057))+(32*INDIRECT("CONFIG!A"&amp;(A1058)))),2)</f>
        <v>#define MPU_S_OC_RW_IDX6  0x00</v>
      </c>
    </row>
    <row r="1058" spans="1:2" x14ac:dyDescent="0.25">
      <c r="A1058">
        <f>A1057+1</f>
        <v>233</v>
      </c>
      <c r="B1058" s="18" t="s">
        <v>134</v>
      </c>
    </row>
    <row r="1059" spans="1:2" x14ac:dyDescent="0.25">
      <c r="B1059" s="18" t="s">
        <v>135</v>
      </c>
    </row>
    <row r="1060" spans="1:2" x14ac:dyDescent="0.25">
      <c r="A1060">
        <f>A1054+1</f>
        <v>235</v>
      </c>
      <c r="B1060" s="18" t="str" cm="1">
        <f t="array" aca="1" ref="B1060" ca="1">"#define MPU_S_IC_RW_IDX"&amp;A1026&amp;"  0x"&amp;DEC2HEX((1*INDIRECT("CONFIG!A"&amp;(A1060))+(2*INDIRECT("CONFIG!A"&amp;(A1061)))),2)</f>
        <v>#define MPU_S_IC_RW_IDX6  0x00</v>
      </c>
    </row>
    <row r="1061" spans="1:2" x14ac:dyDescent="0.25">
      <c r="A1061">
        <f>A1060+1</f>
        <v>236</v>
      </c>
      <c r="B1061" s="18" t="str">
        <f>"//   &lt;/h&gt;   //if NORMAL Memory of IDX"&amp;A1026</f>
        <v>//   &lt;/h&gt;   //if NORMAL Memory of IDX6</v>
      </c>
    </row>
    <row r="1062" spans="1:2" x14ac:dyDescent="0.25">
      <c r="B1062" s="18" t="str">
        <f>"#if (MPU_S_OC_POL_IDX"&amp;A1026&amp;" == 0x10)"</f>
        <v>#if (MPU_S_OC_POL_IDX6 == 0x10)</v>
      </c>
    </row>
    <row r="1063" spans="1:2" x14ac:dyDescent="0.25">
      <c r="B1063" s="18" t="str">
        <f>"#define MPU_S_OUTERCACHE_IDX"&amp;A1026&amp;"   0x40"</f>
        <v>#define MPU_S_OUTERCACHE_IDX6   0x40</v>
      </c>
    </row>
    <row r="1064" spans="1:2" x14ac:dyDescent="0.25">
      <c r="B1064" s="18" t="s">
        <v>24</v>
      </c>
    </row>
    <row r="1065" spans="1:2" x14ac:dyDescent="0.25">
      <c r="B1065" s="18" t="str">
        <f>"#define MPU_S_OUTERCACHE_IDX"&amp;A1026&amp;"   (MPU_S_OC_POL_IDX"&amp;A1026&amp;" | MPU_S_OC_RW_IDX"&amp;A1026&amp;")"</f>
        <v>#define MPU_S_OUTERCACHE_IDX6   (MPU_S_OC_POL_IDX6 | MPU_S_OC_RW_IDX6)</v>
      </c>
    </row>
    <row r="1066" spans="1:2" x14ac:dyDescent="0.25">
      <c r="B1066" s="18" t="s">
        <v>25</v>
      </c>
    </row>
    <row r="1067" spans="1:2" x14ac:dyDescent="0.25">
      <c r="B1067" s="18" t="str">
        <f>"#if (MPU_S_IC_POL_IDX"&amp;A1026&amp;" == 0x01)"</f>
        <v>#if (MPU_S_IC_POL_IDX6 == 0x01)</v>
      </c>
    </row>
    <row r="1068" spans="1:2" x14ac:dyDescent="0.25">
      <c r="B1068" s="18" t="str">
        <f>"#define MPU_S_INNERCACHE_IDX"&amp;A1026&amp;"   0x04"</f>
        <v>#define MPU_S_INNERCACHE_IDX6   0x04</v>
      </c>
    </row>
    <row r="1069" spans="1:2" x14ac:dyDescent="0.25">
      <c r="B1069" s="18" t="s">
        <v>24</v>
      </c>
    </row>
    <row r="1070" spans="1:2" x14ac:dyDescent="0.25">
      <c r="B1070" s="18" t="str">
        <f>"#define MPU_S_INNERCACHE_IDX"&amp;A1026&amp;"   (MPU_S_IC_POL_IDX"&amp;A1026&amp;" | MPU_S_IC_RW_IDX"&amp;A1026&amp;")"</f>
        <v>#define MPU_S_INNERCACHE_IDX6   (MPU_S_IC_POL_IDX6 | MPU_S_IC_RW_IDX6)</v>
      </c>
    </row>
    <row r="1071" spans="1:2" x14ac:dyDescent="0.25">
      <c r="B1071" s="18" t="s">
        <v>25</v>
      </c>
    </row>
    <row r="1072" spans="1:2" x14ac:dyDescent="0.25">
      <c r="B1072" s="18" t="str">
        <f>"#if (MPU_S_TYPE_IDX"&amp;A1026&amp;" == 0x01)"</f>
        <v>#if (MPU_S_TYPE_IDX6 == 0x01)</v>
      </c>
    </row>
    <row r="1073" spans="1:2" x14ac:dyDescent="0.25">
      <c r="B1073" s="18" t="str">
        <f>"#define MPU_S_VAL_IDX"&amp;A1026&amp;"   (MPU_S_OUTERCACHE_IDX"&amp;A1026&amp;" | MPU_S_INNERCACHE_IDX"&amp;A1026&amp;")"</f>
        <v>#define MPU_S_VAL_IDX6   (MPU_S_OUTERCACHE_IDX6 | MPU_S_INNERCACHE_IDX6)</v>
      </c>
    </row>
    <row r="1074" spans="1:2" x14ac:dyDescent="0.25">
      <c r="B1074" s="18" t="s">
        <v>24</v>
      </c>
    </row>
    <row r="1075" spans="1:2" x14ac:dyDescent="0.25">
      <c r="B1075" s="18" t="str">
        <f>"#define MPU_S_VAL_IDX"&amp;A1026&amp;"   MPU_S_TYPE_IDX"&amp;A1026&amp;""</f>
        <v>#define MPU_S_VAL_IDX6   MPU_S_TYPE_IDX6</v>
      </c>
    </row>
    <row r="1076" spans="1:2" x14ac:dyDescent="0.25">
      <c r="B1076" s="18" t="s">
        <v>25</v>
      </c>
    </row>
    <row r="1077" spans="1:2" x14ac:dyDescent="0.25">
      <c r="B1077" s="18" t="str">
        <f>"//   &lt;/e&gt;   //MPU_S Attr Idx "&amp;A1026</f>
        <v>//   &lt;/e&gt;   //MPU_S Attr Idx 6</v>
      </c>
    </row>
    <row r="1078" spans="1:2" x14ac:dyDescent="0.25">
      <c r="A1078" s="23">
        <f>A1026+1</f>
        <v>7</v>
      </c>
      <c r="B1078" s="18" t="str">
        <f>"// MPU_S IDX "&amp;A1078&amp;" ********************************"</f>
        <v>// MPU_S IDX 7 ********************************</v>
      </c>
    </row>
    <row r="1079" spans="1:2" x14ac:dyDescent="0.25">
      <c r="B1079" s="18" t="str">
        <f>"//   &lt;e&gt;Initialize MPU_S Attr Idx "&amp;A1078</f>
        <v>//   &lt;e&gt;Initialize MPU_S Attr Idx 7</v>
      </c>
    </row>
    <row r="1080" spans="1:2" x14ac:dyDescent="0.25">
      <c r="A1080" s="23">
        <f>A1028+10</f>
        <v>238</v>
      </c>
      <c r="B1080" s="18" t="str">
        <f ca="1">"#define MPU_S_INIT_IDX"&amp;A1078&amp;"   "&amp;N(INDIRECT("CONFIG!A"&amp;A1080))</f>
        <v>#define MPU_S_INIT_IDX7   0</v>
      </c>
    </row>
    <row r="1081" spans="1:2" x14ac:dyDescent="0.25">
      <c r="B1081" s="18" t="str">
        <f>"//   &lt;o&gt;Memory Access Type of Attr Idx "&amp;A1078</f>
        <v>//   &lt;o&gt;Memory Access Type of Attr Idx 7</v>
      </c>
    </row>
    <row r="1082" spans="1:2" x14ac:dyDescent="0.25">
      <c r="B1082" s="18" t="s">
        <v>113</v>
      </c>
    </row>
    <row r="1083" spans="1:2" x14ac:dyDescent="0.25">
      <c r="B1083" s="18" t="s">
        <v>114</v>
      </c>
    </row>
    <row r="1084" spans="1:2" x14ac:dyDescent="0.25">
      <c r="B1084" s="18" t="s">
        <v>115</v>
      </c>
    </row>
    <row r="1085" spans="1:2" x14ac:dyDescent="0.25">
      <c r="B1085" s="18" t="s">
        <v>116</v>
      </c>
    </row>
    <row r="1086" spans="1:2" x14ac:dyDescent="0.25">
      <c r="B1086" s="18" t="s">
        <v>117</v>
      </c>
    </row>
    <row r="1087" spans="1:2" x14ac:dyDescent="0.25">
      <c r="B1087" s="18" t="s">
        <v>118</v>
      </c>
    </row>
    <row r="1088" spans="1:2" x14ac:dyDescent="0.25">
      <c r="B1088" s="18" t="s">
        <v>119</v>
      </c>
    </row>
    <row r="1089" spans="1:2" x14ac:dyDescent="0.25">
      <c r="B1089" s="18" t="s">
        <v>120</v>
      </c>
    </row>
    <row r="1090" spans="1:2" x14ac:dyDescent="0.25">
      <c r="B1090" s="18" t="s">
        <v>121</v>
      </c>
    </row>
    <row r="1091" spans="1:2" x14ac:dyDescent="0.25">
      <c r="A1091">
        <f>A1080+2</f>
        <v>240</v>
      </c>
      <c r="B1091" s="18" t="str" cm="1">
        <f t="array" aca="1" ref="B1091" ca="1">"#define MPU_S_TYPE_IDX"&amp;A1078&amp;"   "&amp;"0x"&amp;DEC2HEX(HEX2DEC(INDIRECT("CONFIG!A"&amp;INDIRECT("CONFIG!A"&amp;(A1091))+264)),2)</f>
        <v>#define MPU_S_TYPE_IDX7   0x01</v>
      </c>
    </row>
    <row r="1092" spans="1:2" x14ac:dyDescent="0.25">
      <c r="B1092" s="18" t="str">
        <f>"//   &lt;h&gt;if Type of Attr Idx "&amp;A1078&amp;" is NORMAL Memory"</f>
        <v>//   &lt;h&gt;if Type of Attr Idx 7 is NORMAL Memory</v>
      </c>
    </row>
    <row r="1093" spans="1:2" x14ac:dyDescent="0.25">
      <c r="B1093" s="18" t="s">
        <v>122</v>
      </c>
    </row>
    <row r="1094" spans="1:2" x14ac:dyDescent="0.25">
      <c r="B1094" s="18" t="s">
        <v>136</v>
      </c>
    </row>
    <row r="1095" spans="1:2" x14ac:dyDescent="0.25">
      <c r="B1095" s="18" t="s">
        <v>123</v>
      </c>
    </row>
    <row r="1096" spans="1:2" x14ac:dyDescent="0.25">
      <c r="B1096" s="18" t="s">
        <v>124</v>
      </c>
    </row>
    <row r="1097" spans="1:2" x14ac:dyDescent="0.25">
      <c r="B1097" s="18" t="s">
        <v>125</v>
      </c>
    </row>
    <row r="1098" spans="1:2" x14ac:dyDescent="0.25">
      <c r="B1098" s="18" t="s">
        <v>126</v>
      </c>
    </row>
    <row r="1099" spans="1:2" x14ac:dyDescent="0.25">
      <c r="A1099">
        <f>A1091+1</f>
        <v>241</v>
      </c>
      <c r="B1099" s="18" t="str" cm="1">
        <f t="array" aca="1" ref="B1099" ca="1">"#define MPU_S_OC_POL_IDX"&amp;A1078&amp;" 0x"&amp;DEC2HEX(16*HEX2DEC(INDIRECT("CONFIG!A"&amp;INDIRECT("CONFIG!A"&amp;(A1099))+273)),2)</f>
        <v>#define MPU_S_OC_POL_IDX7 0x10</v>
      </c>
    </row>
    <row r="1100" spans="1:2" x14ac:dyDescent="0.25">
      <c r="B1100" s="18" t="s">
        <v>127</v>
      </c>
    </row>
    <row r="1101" spans="1:2" x14ac:dyDescent="0.25">
      <c r="B1101" s="18" t="s">
        <v>137</v>
      </c>
    </row>
    <row r="1102" spans="1:2" x14ac:dyDescent="0.25">
      <c r="B1102" s="18" t="s">
        <v>128</v>
      </c>
    </row>
    <row r="1103" spans="1:2" x14ac:dyDescent="0.25">
      <c r="B1103" s="18" t="s">
        <v>129</v>
      </c>
    </row>
    <row r="1104" spans="1:2" x14ac:dyDescent="0.25">
      <c r="B1104" s="18" t="s">
        <v>130</v>
      </c>
    </row>
    <row r="1105" spans="1:2" x14ac:dyDescent="0.25">
      <c r="B1105" s="18" t="s">
        <v>131</v>
      </c>
    </row>
    <row r="1106" spans="1:2" x14ac:dyDescent="0.25">
      <c r="A1106">
        <f>A1099+3</f>
        <v>244</v>
      </c>
      <c r="B1106" s="18" t="str" cm="1">
        <f t="array" aca="1" ref="B1106" ca="1">"#define MPU_S_IC_POL_IDX"&amp;A1078&amp;" 0x"&amp;DEC2HEX(HEX2DEC(INDIRECT("CONFIG!A"&amp;INDIRECT("CONFIG!A"&amp;(A1106))+273)),2)</f>
        <v>#define MPU_S_IC_POL_IDX7 0x01</v>
      </c>
    </row>
    <row r="1107" spans="1:2" x14ac:dyDescent="0.25">
      <c r="B1107" s="18" t="s">
        <v>132</v>
      </c>
    </row>
    <row r="1108" spans="1:2" x14ac:dyDescent="0.25">
      <c r="B1108" s="18" t="s">
        <v>133</v>
      </c>
    </row>
    <row r="1109" spans="1:2" x14ac:dyDescent="0.25">
      <c r="A1109">
        <f>A1099+1</f>
        <v>242</v>
      </c>
      <c r="B1109" s="18" t="str" cm="1">
        <f t="array" aca="1" ref="B1109" ca="1">"#define MPU_S_OC_RW_IDX"&amp;A1078&amp;"  0x"&amp;DEC2HEX((16*INDIRECT("CONFIG!A"&amp;(A1109))+(32*INDIRECT("CONFIG!A"&amp;(A1110)))),2)</f>
        <v>#define MPU_S_OC_RW_IDX7  0x00</v>
      </c>
    </row>
    <row r="1110" spans="1:2" x14ac:dyDescent="0.25">
      <c r="A1110">
        <f>A1109+1</f>
        <v>243</v>
      </c>
      <c r="B1110" s="18" t="s">
        <v>134</v>
      </c>
    </row>
    <row r="1111" spans="1:2" x14ac:dyDescent="0.25">
      <c r="B1111" s="18" t="s">
        <v>135</v>
      </c>
    </row>
    <row r="1112" spans="1:2" x14ac:dyDescent="0.25">
      <c r="A1112">
        <f>A1106+1</f>
        <v>245</v>
      </c>
      <c r="B1112" s="18" t="str" cm="1">
        <f t="array" aca="1" ref="B1112" ca="1">"#define MPU_S_IC_RW_IDX"&amp;A1078&amp;"  0x"&amp;DEC2HEX((1*INDIRECT("CONFIG!A"&amp;(A1112))+(2*INDIRECT("CONFIG!A"&amp;(A1113)))),2)</f>
        <v>#define MPU_S_IC_RW_IDX7  0x00</v>
      </c>
    </row>
    <row r="1113" spans="1:2" x14ac:dyDescent="0.25">
      <c r="A1113">
        <f>A1112+1</f>
        <v>246</v>
      </c>
      <c r="B1113" s="18" t="str">
        <f>"//   &lt;/h&gt;   //if NORMAL Memory of IDX"&amp;A1078</f>
        <v>//   &lt;/h&gt;   //if NORMAL Memory of IDX7</v>
      </c>
    </row>
    <row r="1114" spans="1:2" x14ac:dyDescent="0.25">
      <c r="B1114" s="18" t="str">
        <f>"#if (MPU_S_OC_POL_IDX"&amp;A1078&amp;" == 0x10)"</f>
        <v>#if (MPU_S_OC_POL_IDX7 == 0x10)</v>
      </c>
    </row>
    <row r="1115" spans="1:2" x14ac:dyDescent="0.25">
      <c r="B1115" s="18" t="str">
        <f>"#define MPU_S_OUTERCACHE_IDX"&amp;A1078&amp;"   0x40"</f>
        <v>#define MPU_S_OUTERCACHE_IDX7   0x40</v>
      </c>
    </row>
    <row r="1116" spans="1:2" x14ac:dyDescent="0.25">
      <c r="B1116" s="18" t="s">
        <v>24</v>
      </c>
    </row>
    <row r="1117" spans="1:2" x14ac:dyDescent="0.25">
      <c r="B1117" s="18" t="str">
        <f>"#define MPU_S_OUTERCACHE_IDX"&amp;A1078&amp;"   (MPU_S_OC_POL_IDX"&amp;A1078&amp;" | MPU_S_OC_RW_IDX"&amp;A1078&amp;")"</f>
        <v>#define MPU_S_OUTERCACHE_IDX7   (MPU_S_OC_POL_IDX7 | MPU_S_OC_RW_IDX7)</v>
      </c>
    </row>
    <row r="1118" spans="1:2" x14ac:dyDescent="0.25">
      <c r="B1118" s="18" t="s">
        <v>25</v>
      </c>
    </row>
    <row r="1119" spans="1:2" x14ac:dyDescent="0.25">
      <c r="B1119" s="18" t="str">
        <f>"#if (MPU_S_IC_POL_IDX"&amp;A1078&amp;" == 0x01)"</f>
        <v>#if (MPU_S_IC_POL_IDX7 == 0x01)</v>
      </c>
    </row>
    <row r="1120" spans="1:2" x14ac:dyDescent="0.25">
      <c r="B1120" s="18" t="str">
        <f>"#define MPU_S_INNERCACHE_IDX"&amp;A1078&amp;"   0x04"</f>
        <v>#define MPU_S_INNERCACHE_IDX7   0x04</v>
      </c>
    </row>
    <row r="1121" spans="2:2" x14ac:dyDescent="0.25">
      <c r="B1121" s="18" t="s">
        <v>24</v>
      </c>
    </row>
    <row r="1122" spans="2:2" x14ac:dyDescent="0.25">
      <c r="B1122" s="18" t="str">
        <f>"#define MPU_S_INNERCACHE_IDX"&amp;A1078&amp;"   (MPU_S_IC_POL_IDX"&amp;A1078&amp;" | MPU_S_IC_RW_IDX"&amp;A1078&amp;")"</f>
        <v>#define MPU_S_INNERCACHE_IDX7   (MPU_S_IC_POL_IDX7 | MPU_S_IC_RW_IDX7)</v>
      </c>
    </row>
    <row r="1123" spans="2:2" x14ac:dyDescent="0.25">
      <c r="B1123" s="18" t="s">
        <v>25</v>
      </c>
    </row>
    <row r="1124" spans="2:2" x14ac:dyDescent="0.25">
      <c r="B1124" s="18" t="str">
        <f>"#if (MPU_S_TYPE_IDX"&amp;A1078&amp;" == 0x01)"</f>
        <v>#if (MPU_S_TYPE_IDX7 == 0x01)</v>
      </c>
    </row>
    <row r="1125" spans="2:2" x14ac:dyDescent="0.25">
      <c r="B1125" s="18" t="str">
        <f>"#define MPU_S_VAL_IDX"&amp;A1078&amp;"   (MPU_S_OUTERCACHE_IDX"&amp;A1078&amp;" | MPU_S_INNERCACHE_IDX"&amp;A1078&amp;")"</f>
        <v>#define MPU_S_VAL_IDX7   (MPU_S_OUTERCACHE_IDX7 | MPU_S_INNERCACHE_IDX7)</v>
      </c>
    </row>
    <row r="1126" spans="2:2" x14ac:dyDescent="0.25">
      <c r="B1126" s="18" t="s">
        <v>24</v>
      </c>
    </row>
    <row r="1127" spans="2:2" x14ac:dyDescent="0.25">
      <c r="B1127" s="18" t="str">
        <f>"#define MPU_S_VAL_IDX"&amp;A1078&amp;"   MPU_S_TYPE_IDX"&amp;A1078&amp;""</f>
        <v>#define MPU_S_VAL_IDX7   MPU_S_TYPE_IDX7</v>
      </c>
    </row>
    <row r="1128" spans="2:2" x14ac:dyDescent="0.25">
      <c r="B1128" s="18" t="s">
        <v>25</v>
      </c>
    </row>
    <row r="1129" spans="2:2" x14ac:dyDescent="0.25">
      <c r="B1129" s="18" t="str">
        <f>"//   &lt;/e&gt;   //MPU_S Attr Idx "&amp;A1078</f>
        <v>//   &lt;/e&gt;   //MPU_S Attr Idx 7</v>
      </c>
    </row>
    <row r="1130" spans="2:2" x14ac:dyDescent="0.25">
      <c r="B1130" s="18" t="s">
        <v>204</v>
      </c>
    </row>
    <row r="1131" spans="2:2" x14ac:dyDescent="0.25">
      <c r="B1131" s="18" t="s">
        <v>203</v>
      </c>
    </row>
    <row r="1132" spans="2:2" x14ac:dyDescent="0.25">
      <c r="B1132" s="18" t="s">
        <v>138</v>
      </c>
    </row>
    <row r="1133" spans="2:2" x14ac:dyDescent="0.25">
      <c r="B1133" s="18" t="s">
        <v>212</v>
      </c>
    </row>
    <row r="1134" spans="2:2" x14ac:dyDescent="0.25">
      <c r="B1134" s="18" t="s">
        <v>211</v>
      </c>
    </row>
    <row r="1135" spans="2:2" x14ac:dyDescent="0.25">
      <c r="B1135" s="18" t="s">
        <v>212</v>
      </c>
    </row>
    <row r="1136" spans="2:2" x14ac:dyDescent="0.25">
      <c r="B1136" s="18" t="s">
        <v>158</v>
      </c>
    </row>
    <row r="1137" spans="2:2" x14ac:dyDescent="0.25">
      <c r="B1137" s="18" t="s">
        <v>168</v>
      </c>
    </row>
    <row r="1138" spans="2:2" x14ac:dyDescent="0.25">
      <c r="B1138" s="18" t="s">
        <v>170</v>
      </c>
    </row>
    <row r="1139" spans="2:2" x14ac:dyDescent="0.25">
      <c r="B1139" s="18" t="s">
        <v>162</v>
      </c>
    </row>
    <row r="1140" spans="2:2" x14ac:dyDescent="0.25">
      <c r="B1140" s="18" t="s">
        <v>163</v>
      </c>
    </row>
    <row r="1141" spans="2:2" x14ac:dyDescent="0.25">
      <c r="B1141" s="18" t="str">
        <f>"#define MPU_NS_INIT_CTRL_ENABLE   "&amp;IF(CONFIG_NS!A1094,"1","0")</f>
        <v>#define MPU_NS_INIT_CTRL_ENABLE   0</v>
      </c>
    </row>
    <row r="1142" spans="2:2" x14ac:dyDescent="0.25">
      <c r="B1142" s="18" t="s">
        <v>2</v>
      </c>
    </row>
    <row r="1143" spans="2:2" x14ac:dyDescent="0.25">
      <c r="B1143" s="18" t="s">
        <v>164</v>
      </c>
    </row>
    <row r="1144" spans="2:2" x14ac:dyDescent="0.25">
      <c r="B1144" s="18" t="str">
        <f>"#define MPU_NS_INIT_CTRL_PRIVDEFENA  "&amp;IF(CONFIG_NS!A1095,"0x00000004","0x00000000")</f>
        <v>#define MPU_NS_INIT_CTRL_PRIVDEFENA  0x00000000</v>
      </c>
    </row>
    <row r="1145" spans="2:2" x14ac:dyDescent="0.25">
      <c r="B1145" s="18" t="s">
        <v>4</v>
      </c>
    </row>
    <row r="1146" spans="2:2" x14ac:dyDescent="0.25">
      <c r="B1146" s="18" t="s">
        <v>165</v>
      </c>
    </row>
    <row r="1147" spans="2:2" x14ac:dyDescent="0.25">
      <c r="B1147" s="18" t="s">
        <v>6</v>
      </c>
    </row>
    <row r="1148" spans="2:2" x14ac:dyDescent="0.25">
      <c r="B1148" s="18" t="str">
        <f>"#define MPU_NS_INIT_CTRL_HFNMIENA  "&amp;IF(CONFIG_NS!A1096,"0x00000002","0x00000000")</f>
        <v>#define MPU_NS_INIT_CTRL_HFNMIENA  0x00000000</v>
      </c>
    </row>
    <row r="1149" spans="2:2" x14ac:dyDescent="0.25">
      <c r="B1149" s="18" t="s">
        <v>166</v>
      </c>
    </row>
    <row r="1150" spans="2:2" x14ac:dyDescent="0.25">
      <c r="B1150" s="18" t="s">
        <v>167</v>
      </c>
    </row>
    <row r="1151" spans="2:2" x14ac:dyDescent="0.25">
      <c r="B1151" s="18" t="s">
        <v>138</v>
      </c>
    </row>
    <row r="1152" spans="2:2" x14ac:dyDescent="0.25">
      <c r="B1152" s="18" t="s">
        <v>160</v>
      </c>
    </row>
    <row r="1153" spans="1:2" x14ac:dyDescent="0.25">
      <c r="A1153" s="25">
        <v>0</v>
      </c>
      <c r="B1153" s="18" t="str">
        <f>"// MPU_NS Region "&amp;A1153&amp;" ********************************"</f>
        <v>// MPU_NS Region 0 ********************************</v>
      </c>
    </row>
    <row r="1154" spans="1:2" x14ac:dyDescent="0.25">
      <c r="A1154" s="25">
        <v>7</v>
      </c>
      <c r="B1154" s="18" t="str">
        <f>"// &lt;e&gt;Configure MPU_NS Region "&amp;A1153</f>
        <v>// &lt;e&gt;Configure MPU_NS Region 0</v>
      </c>
    </row>
    <row r="1155" spans="1:2" x14ac:dyDescent="0.25">
      <c r="B1155" s="18" t="s">
        <v>29</v>
      </c>
    </row>
    <row r="1156" spans="1:2" x14ac:dyDescent="0.25">
      <c r="A1156">
        <f>A1154</f>
        <v>7</v>
      </c>
      <c r="B1156" s="18" t="str">
        <f ca="1">"#define MPU_NS_CONFIG_REG"&amp;A1153&amp;"  "&amp;N(INDIRECT("CONFIG_NS!A"&amp;A1156))</f>
        <v>#define MPU_NS_CONFIG_REG0  0</v>
      </c>
    </row>
    <row r="1157" spans="1:2" x14ac:dyDescent="0.25">
      <c r="B1157" s="18" t="s">
        <v>7</v>
      </c>
    </row>
    <row r="1158" spans="1:2" x14ac:dyDescent="0.25">
      <c r="A1158">
        <f>A1154+1</f>
        <v>8</v>
      </c>
      <c r="B1158" s="18" t="str">
        <f ca="1">"#define MPU_NS_ENABLE_REG"&amp;A1153&amp;"  "&amp;N(INDIRECT("CONFIG_NS!A"&amp;A1158))</f>
        <v>#define MPU_NS_ENABLE_REG0  1</v>
      </c>
    </row>
    <row r="1159" spans="1:2" x14ac:dyDescent="0.25">
      <c r="B1159" s="18" t="s">
        <v>8</v>
      </c>
    </row>
    <row r="1160" spans="1:2" x14ac:dyDescent="0.25">
      <c r="B1160" s="18" t="s">
        <v>54</v>
      </c>
    </row>
    <row r="1161" spans="1:2" x14ac:dyDescent="0.25">
      <c r="A1161">
        <f>A1154+2</f>
        <v>9</v>
      </c>
      <c r="B1161" s="18" t="str" cm="1">
        <f t="array" aca="1" ref="B1161" ca="1">"#define MPU_NS_BASE_REG"&amp;A1153&amp;"    0x"&amp;INDIRECT("CONFIG_NS!A"&amp;A1161)</f>
        <v>#define MPU_NS_BASE_REG0    0x00000000</v>
      </c>
    </row>
    <row r="1162" spans="1:2" x14ac:dyDescent="0.25">
      <c r="B1162" s="18" t="s">
        <v>55</v>
      </c>
    </row>
    <row r="1163" spans="1:2" x14ac:dyDescent="0.25">
      <c r="B1163" s="18" t="s">
        <v>56</v>
      </c>
    </row>
    <row r="1164" spans="1:2" x14ac:dyDescent="0.25">
      <c r="A1164">
        <f>A1154+3</f>
        <v>10</v>
      </c>
      <c r="B1164" s="18" t="str">
        <f ca="1">"#define MPU_NS_END_REG"&amp;A1153&amp;"     0x"&amp;DEC2HEX(HEX2DEC(INDIRECT("CONFIG_NS!A"&amp;A1164))+1,8)</f>
        <v>#define MPU_NS_END_REG0     0x00000020</v>
      </c>
    </row>
    <row r="1165" spans="1:2" x14ac:dyDescent="0.25">
      <c r="B1165" s="18" t="str">
        <f>"#define MPU_NS_LIMIT_REG"&amp;A1153&amp;"   (MPU_NS_END_REG"&amp;A1153&amp;" - 1u)"</f>
        <v>#define MPU_NS_LIMIT_REG0   (MPU_NS_END_REG0 - 1u)</v>
      </c>
    </row>
    <row r="1166" spans="1:2" x14ac:dyDescent="0.25">
      <c r="B1166" s="18" t="s">
        <v>9</v>
      </c>
    </row>
    <row r="1167" spans="1:2" x14ac:dyDescent="0.25">
      <c r="B1167" s="18" t="s">
        <v>57</v>
      </c>
    </row>
    <row r="1168" spans="1:2" x14ac:dyDescent="0.25">
      <c r="B1168" s="18" t="s">
        <v>58</v>
      </c>
    </row>
    <row r="1169" spans="1:2" x14ac:dyDescent="0.25">
      <c r="B1169" s="18" t="s">
        <v>59</v>
      </c>
    </row>
    <row r="1170" spans="1:2" x14ac:dyDescent="0.25">
      <c r="B1170" s="18" t="s">
        <v>60</v>
      </c>
    </row>
    <row r="1171" spans="1:2" x14ac:dyDescent="0.25">
      <c r="A1171">
        <f>A1154+4</f>
        <v>11</v>
      </c>
      <c r="B1171" s="18" t="str" cm="1">
        <f t="array" aca="1" ref="B1171" ca="1">"#define MPU_NS_PERM_REG"&amp;A1153&amp;"    "&amp;INDIRECT("CONFIG_NS!A"&amp;A1171)-1</f>
        <v>#define MPU_NS_PERM_REG0    0</v>
      </c>
    </row>
    <row r="1172" spans="1:2" x14ac:dyDescent="0.25">
      <c r="B1172" s="18" t="s">
        <v>10</v>
      </c>
    </row>
    <row r="1173" spans="1:2" x14ac:dyDescent="0.25">
      <c r="A1173">
        <f>A1154+5</f>
        <v>12</v>
      </c>
      <c r="B1173" s="18" t="str">
        <f ca="1">"#define MPU_NS_XN_REG"&amp;A1153&amp;"      "&amp;N(INDIRECT("CONFIG_NS!A"&amp;A1173))</f>
        <v>#define MPU_NS_XN_REG0      0</v>
      </c>
    </row>
    <row r="1174" spans="1:2" x14ac:dyDescent="0.25">
      <c r="B1174" s="18" t="s">
        <v>61</v>
      </c>
    </row>
    <row r="1175" spans="1:2" x14ac:dyDescent="0.25">
      <c r="A1175">
        <f>A1156+6</f>
        <v>13</v>
      </c>
      <c r="B1175" s="18" t="str">
        <f ca="1">"#define MPU_NS_PXN_REG"&amp;A1153&amp;"     "&amp;N(INDIRECT("CONFIG_NS!A"&amp;A1175))</f>
        <v>#define MPU_NS_PXN_REG0     0</v>
      </c>
    </row>
    <row r="1176" spans="1:2" x14ac:dyDescent="0.25">
      <c r="B1176" s="18" t="s">
        <v>69</v>
      </c>
    </row>
    <row r="1177" spans="1:2" x14ac:dyDescent="0.25">
      <c r="B1177" s="18" t="s">
        <v>11</v>
      </c>
    </row>
    <row r="1178" spans="1:2" x14ac:dyDescent="0.25">
      <c r="B1178" s="18" t="s">
        <v>70</v>
      </c>
    </row>
    <row r="1179" spans="1:2" x14ac:dyDescent="0.25">
      <c r="B1179" s="18" t="s">
        <v>71</v>
      </c>
    </row>
    <row r="1180" spans="1:2" x14ac:dyDescent="0.25">
      <c r="B1180" s="18" t="s">
        <v>72</v>
      </c>
    </row>
    <row r="1181" spans="1:2" x14ac:dyDescent="0.25">
      <c r="A1181">
        <f>A1154+7</f>
        <v>14</v>
      </c>
      <c r="B1181" s="18" t="str" cm="1">
        <f t="array" aca="1" ref="B1181" ca="1">"#define MPU_NS_SHARE_REG"&amp;A1153&amp;"   "&amp;(INDIRECT("CONFIG_NS!A"&amp;A1181)-1)</f>
        <v>#define MPU_NS_SHARE_REG0   3</v>
      </c>
    </row>
    <row r="1182" spans="1:2" x14ac:dyDescent="0.25">
      <c r="B1182" s="18" t="s">
        <v>62</v>
      </c>
    </row>
    <row r="1183" spans="1:2" x14ac:dyDescent="0.25">
      <c r="B1183" s="18" t="s">
        <v>75</v>
      </c>
    </row>
    <row r="1184" spans="1:2" x14ac:dyDescent="0.25">
      <c r="B1184" s="18" t="s">
        <v>76</v>
      </c>
    </row>
    <row r="1185" spans="1:2" x14ac:dyDescent="0.25">
      <c r="B1185" s="18" t="s">
        <v>77</v>
      </c>
    </row>
    <row r="1186" spans="1:2" x14ac:dyDescent="0.25">
      <c r="B1186" s="18" t="s">
        <v>78</v>
      </c>
    </row>
    <row r="1187" spans="1:2" x14ac:dyDescent="0.25">
      <c r="B1187" s="18" t="s">
        <v>79</v>
      </c>
    </row>
    <row r="1188" spans="1:2" x14ac:dyDescent="0.25">
      <c r="B1188" s="18" t="s">
        <v>80</v>
      </c>
    </row>
    <row r="1189" spans="1:2" x14ac:dyDescent="0.25">
      <c r="B1189" s="18" t="s">
        <v>81</v>
      </c>
    </row>
    <row r="1190" spans="1:2" x14ac:dyDescent="0.25">
      <c r="B1190" s="18" t="s">
        <v>82</v>
      </c>
    </row>
    <row r="1191" spans="1:2" x14ac:dyDescent="0.25">
      <c r="A1191">
        <f>A1154+8</f>
        <v>15</v>
      </c>
      <c r="B1191" s="18" t="str" cm="1">
        <f t="array" aca="1" ref="B1191" ca="1">"#define MPU_NS_ATTRIND"&amp;A1153&amp;"     "&amp;INDIRECT("CONFIG_NS!A"&amp;A1191)-1</f>
        <v>#define MPU_NS_ATTRIND0     0</v>
      </c>
    </row>
    <row r="1192" spans="1:2" x14ac:dyDescent="0.25">
      <c r="B1192" s="18" t="str">
        <f>"//   &lt;/e&gt;   //MPU_NS Region "&amp;A1153&amp;" ********************************"</f>
        <v>//   &lt;/e&gt;   //MPU_NS Region 0 ********************************</v>
      </c>
    </row>
    <row r="1193" spans="1:2" x14ac:dyDescent="0.25">
      <c r="B1193" s="18" t="s">
        <v>138</v>
      </c>
    </row>
    <row r="1194" spans="1:2" x14ac:dyDescent="0.25">
      <c r="A1194" s="25">
        <f>A1153+1</f>
        <v>1</v>
      </c>
      <c r="B1194" s="18" t="str">
        <f>"// MPU_NS Region "&amp;A1194&amp;" ********************************"</f>
        <v>// MPU_NS Region 1 ********************************</v>
      </c>
    </row>
    <row r="1195" spans="1:2" x14ac:dyDescent="0.25">
      <c r="A1195" s="25">
        <f>A1154+10</f>
        <v>17</v>
      </c>
      <c r="B1195" s="18" t="str">
        <f>"// &lt;e&gt;Configure MPU_NS Region "&amp;A1194</f>
        <v>// &lt;e&gt;Configure MPU_NS Region 1</v>
      </c>
    </row>
    <row r="1196" spans="1:2" x14ac:dyDescent="0.25">
      <c r="B1196" s="18" t="s">
        <v>29</v>
      </c>
    </row>
    <row r="1197" spans="1:2" x14ac:dyDescent="0.25">
      <c r="A1197">
        <f>A1195</f>
        <v>17</v>
      </c>
      <c r="B1197" s="18" t="str">
        <f ca="1">"#define MPU_NS_CONFIG_REG"&amp;A1194&amp;"  "&amp;N(INDIRECT("CONFIG_NS!A"&amp;A1197))</f>
        <v>#define MPU_NS_CONFIG_REG1  0</v>
      </c>
    </row>
    <row r="1198" spans="1:2" x14ac:dyDescent="0.25">
      <c r="B1198" s="18" t="s">
        <v>7</v>
      </c>
    </row>
    <row r="1199" spans="1:2" x14ac:dyDescent="0.25">
      <c r="A1199">
        <f>A1195+1</f>
        <v>18</v>
      </c>
      <c r="B1199" s="18" t="str">
        <f ca="1">"#define MPU_NS_ENABLE_REG"&amp;A1194&amp;"  "&amp;N(INDIRECT("CONFIG_NS!A"&amp;A1199))</f>
        <v>#define MPU_NS_ENABLE_REG1  1</v>
      </c>
    </row>
    <row r="1200" spans="1:2" x14ac:dyDescent="0.25">
      <c r="B1200" s="18" t="s">
        <v>8</v>
      </c>
    </row>
    <row r="1201" spans="1:2" x14ac:dyDescent="0.25">
      <c r="B1201" s="18" t="s">
        <v>54</v>
      </c>
    </row>
    <row r="1202" spans="1:2" x14ac:dyDescent="0.25">
      <c r="A1202">
        <f>A1195+2</f>
        <v>19</v>
      </c>
      <c r="B1202" s="18" t="str" cm="1">
        <f t="array" aca="1" ref="B1202" ca="1">"#define MPU_NS_BASE_REG"&amp;A1194&amp;"    0x"&amp;INDIRECT("CONFIG_NS!A"&amp;A1202)</f>
        <v>#define MPU_NS_BASE_REG1    0x00000000</v>
      </c>
    </row>
    <row r="1203" spans="1:2" x14ac:dyDescent="0.25">
      <c r="B1203" s="18" t="s">
        <v>55</v>
      </c>
    </row>
    <row r="1204" spans="1:2" x14ac:dyDescent="0.25">
      <c r="B1204" s="18" t="s">
        <v>56</v>
      </c>
    </row>
    <row r="1205" spans="1:2" x14ac:dyDescent="0.25">
      <c r="A1205">
        <f>A1195+3</f>
        <v>20</v>
      </c>
      <c r="B1205" s="18" t="str">
        <f ca="1">"#define MPU_NS_END_REG"&amp;A1194&amp;"     0x"&amp;DEC2HEX(HEX2DEC(INDIRECT("CONFIG_NS!A"&amp;A1205))+1,8)</f>
        <v>#define MPU_NS_END_REG1     0x00000020</v>
      </c>
    </row>
    <row r="1206" spans="1:2" x14ac:dyDescent="0.25">
      <c r="B1206" s="18" t="str">
        <f>"#define MPU_NS_LIMIT_REG"&amp;A1194&amp;"   (MPU_NS_END_REG"&amp;A1194&amp;" - 1u)"</f>
        <v>#define MPU_NS_LIMIT_REG1   (MPU_NS_END_REG1 - 1u)</v>
      </c>
    </row>
    <row r="1207" spans="1:2" x14ac:dyDescent="0.25">
      <c r="B1207" s="18" t="s">
        <v>9</v>
      </c>
    </row>
    <row r="1208" spans="1:2" x14ac:dyDescent="0.25">
      <c r="B1208" s="18" t="s">
        <v>57</v>
      </c>
    </row>
    <row r="1209" spans="1:2" x14ac:dyDescent="0.25">
      <c r="B1209" s="18" t="s">
        <v>58</v>
      </c>
    </row>
    <row r="1210" spans="1:2" x14ac:dyDescent="0.25">
      <c r="B1210" s="18" t="s">
        <v>59</v>
      </c>
    </row>
    <row r="1211" spans="1:2" x14ac:dyDescent="0.25">
      <c r="B1211" s="18" t="s">
        <v>60</v>
      </c>
    </row>
    <row r="1212" spans="1:2" x14ac:dyDescent="0.25">
      <c r="A1212">
        <f>A1195+4</f>
        <v>21</v>
      </c>
      <c r="B1212" s="18" t="str" cm="1">
        <f t="array" aca="1" ref="B1212" ca="1">"#define MPU_NS_PERM_REG"&amp;A1194&amp;"    "&amp;INDIRECT("CONFIG_NS!A"&amp;A1212)-1</f>
        <v>#define MPU_NS_PERM_REG1    0</v>
      </c>
    </row>
    <row r="1213" spans="1:2" x14ac:dyDescent="0.25">
      <c r="B1213" s="18" t="s">
        <v>10</v>
      </c>
    </row>
    <row r="1214" spans="1:2" x14ac:dyDescent="0.25">
      <c r="A1214">
        <f>A1195+5</f>
        <v>22</v>
      </c>
      <c r="B1214" s="18" t="str">
        <f ca="1">"#define MPU_NS_XN_REG"&amp;A1194&amp;"      "&amp;N(INDIRECT("CONFIG_NS!A"&amp;A1214))</f>
        <v>#define MPU_NS_XN_REG1      0</v>
      </c>
    </row>
    <row r="1215" spans="1:2" x14ac:dyDescent="0.25">
      <c r="B1215" s="18" t="s">
        <v>61</v>
      </c>
    </row>
    <row r="1216" spans="1:2" x14ac:dyDescent="0.25">
      <c r="A1216">
        <f>A1197+6</f>
        <v>23</v>
      </c>
      <c r="B1216" s="18" t="str">
        <f ca="1">"#define MPU_NS_PXN_REG"&amp;A1194&amp;"     "&amp;N(INDIRECT("CONFIG_NS!A"&amp;A1216))</f>
        <v>#define MPU_NS_PXN_REG1     0</v>
      </c>
    </row>
    <row r="1217" spans="1:2" x14ac:dyDescent="0.25">
      <c r="B1217" s="18" t="s">
        <v>69</v>
      </c>
    </row>
    <row r="1218" spans="1:2" x14ac:dyDescent="0.25">
      <c r="B1218" s="18" t="s">
        <v>11</v>
      </c>
    </row>
    <row r="1219" spans="1:2" x14ac:dyDescent="0.25">
      <c r="B1219" s="18" t="s">
        <v>70</v>
      </c>
    </row>
    <row r="1220" spans="1:2" x14ac:dyDescent="0.25">
      <c r="B1220" s="18" t="s">
        <v>71</v>
      </c>
    </row>
    <row r="1221" spans="1:2" x14ac:dyDescent="0.25">
      <c r="B1221" s="18" t="s">
        <v>72</v>
      </c>
    </row>
    <row r="1222" spans="1:2" x14ac:dyDescent="0.25">
      <c r="A1222">
        <f>A1195+7</f>
        <v>24</v>
      </c>
      <c r="B1222" s="18" t="str" cm="1">
        <f t="array" aca="1" ref="B1222" ca="1">"#define MPU_NS_SHARE_REG"&amp;A1194&amp;"   "&amp;(INDIRECT("CONFIG_NS!A"&amp;A1222)-1)</f>
        <v>#define MPU_NS_SHARE_REG1   0</v>
      </c>
    </row>
    <row r="1223" spans="1:2" x14ac:dyDescent="0.25">
      <c r="B1223" s="18" t="s">
        <v>62</v>
      </c>
    </row>
    <row r="1224" spans="1:2" x14ac:dyDescent="0.25">
      <c r="B1224" s="18" t="s">
        <v>75</v>
      </c>
    </row>
    <row r="1225" spans="1:2" x14ac:dyDescent="0.25">
      <c r="B1225" s="18" t="s">
        <v>76</v>
      </c>
    </row>
    <row r="1226" spans="1:2" x14ac:dyDescent="0.25">
      <c r="B1226" s="18" t="s">
        <v>77</v>
      </c>
    </row>
    <row r="1227" spans="1:2" x14ac:dyDescent="0.25">
      <c r="B1227" s="18" t="s">
        <v>78</v>
      </c>
    </row>
    <row r="1228" spans="1:2" x14ac:dyDescent="0.25">
      <c r="B1228" s="18" t="s">
        <v>79</v>
      </c>
    </row>
    <row r="1229" spans="1:2" x14ac:dyDescent="0.25">
      <c r="B1229" s="18" t="s">
        <v>80</v>
      </c>
    </row>
    <row r="1230" spans="1:2" x14ac:dyDescent="0.25">
      <c r="B1230" s="18" t="s">
        <v>81</v>
      </c>
    </row>
    <row r="1231" spans="1:2" x14ac:dyDescent="0.25">
      <c r="B1231" s="18" t="s">
        <v>82</v>
      </c>
    </row>
    <row r="1232" spans="1:2" x14ac:dyDescent="0.25">
      <c r="A1232">
        <f>A1195+8</f>
        <v>25</v>
      </c>
      <c r="B1232" s="18" t="str" cm="1">
        <f t="array" aca="1" ref="B1232" ca="1">"#define MPU_NS_ATTRIND"&amp;A1194&amp;"     "&amp;INDIRECT("CONFIG_NS!A"&amp;A1232)-1</f>
        <v>#define MPU_NS_ATTRIND1     0</v>
      </c>
    </row>
    <row r="1233" spans="1:2" x14ac:dyDescent="0.25">
      <c r="B1233" s="18" t="str">
        <f>"//   &lt;/e&gt;   //MPU_NS Region "&amp;A1194&amp;" ********************************"</f>
        <v>//   &lt;/e&gt;   //MPU_NS Region 1 ********************************</v>
      </c>
    </row>
    <row r="1234" spans="1:2" x14ac:dyDescent="0.25">
      <c r="B1234" s="18" t="s">
        <v>138</v>
      </c>
    </row>
    <row r="1235" spans="1:2" x14ac:dyDescent="0.25">
      <c r="A1235" s="25">
        <f>A1194+1</f>
        <v>2</v>
      </c>
      <c r="B1235" s="18" t="str">
        <f>"// MPU_NS Region "&amp;A1235&amp;" ********************************"</f>
        <v>// MPU_NS Region 2 ********************************</v>
      </c>
    </row>
    <row r="1236" spans="1:2" x14ac:dyDescent="0.25">
      <c r="A1236" s="25">
        <f>A1195+10</f>
        <v>27</v>
      </c>
      <c r="B1236" s="18" t="str">
        <f>"// &lt;e&gt;Configure MPU_NS Region "&amp;A1235</f>
        <v>// &lt;e&gt;Configure MPU_NS Region 2</v>
      </c>
    </row>
    <row r="1237" spans="1:2" x14ac:dyDescent="0.25">
      <c r="B1237" s="18" t="s">
        <v>29</v>
      </c>
    </row>
    <row r="1238" spans="1:2" x14ac:dyDescent="0.25">
      <c r="A1238">
        <f>A1236</f>
        <v>27</v>
      </c>
      <c r="B1238" s="18" t="str">
        <f ca="1">"#define MPU_NS_CONFIG_REG"&amp;A1235&amp;"  "&amp;N(INDIRECT("CONFIG_NS!A"&amp;A1238))</f>
        <v>#define MPU_NS_CONFIG_REG2  0</v>
      </c>
    </row>
    <row r="1239" spans="1:2" x14ac:dyDescent="0.25">
      <c r="B1239" s="18" t="s">
        <v>7</v>
      </c>
    </row>
    <row r="1240" spans="1:2" x14ac:dyDescent="0.25">
      <c r="A1240">
        <f>A1236+1</f>
        <v>28</v>
      </c>
      <c r="B1240" s="18" t="str">
        <f ca="1">"#define MPU_NS_ENABLE_REG"&amp;A1235&amp;"  "&amp;N(INDIRECT("CONFIG_NS!A"&amp;A1240))</f>
        <v>#define MPU_NS_ENABLE_REG2  1</v>
      </c>
    </row>
    <row r="1241" spans="1:2" x14ac:dyDescent="0.25">
      <c r="B1241" s="18" t="s">
        <v>8</v>
      </c>
    </row>
    <row r="1242" spans="1:2" x14ac:dyDescent="0.25">
      <c r="B1242" s="18" t="s">
        <v>54</v>
      </c>
    </row>
    <row r="1243" spans="1:2" x14ac:dyDescent="0.25">
      <c r="A1243">
        <f>A1236+2</f>
        <v>29</v>
      </c>
      <c r="B1243" s="18" t="str" cm="1">
        <f t="array" aca="1" ref="B1243" ca="1">"#define MPU_NS_BASE_REG"&amp;A1235&amp;"    0x"&amp;INDIRECT("CONFIG_NS!A"&amp;A1243)</f>
        <v>#define MPU_NS_BASE_REG2    0x00000000</v>
      </c>
    </row>
    <row r="1244" spans="1:2" x14ac:dyDescent="0.25">
      <c r="B1244" s="18" t="s">
        <v>55</v>
      </c>
    </row>
    <row r="1245" spans="1:2" x14ac:dyDescent="0.25">
      <c r="B1245" s="18" t="s">
        <v>56</v>
      </c>
    </row>
    <row r="1246" spans="1:2" x14ac:dyDescent="0.25">
      <c r="A1246">
        <f>A1236+3</f>
        <v>30</v>
      </c>
      <c r="B1246" s="18" t="str">
        <f ca="1">"#define MPU_NS_END_REG"&amp;A1235&amp;"     0x"&amp;DEC2HEX(HEX2DEC(INDIRECT("CONFIG_NS!A"&amp;A1246))+1,8)</f>
        <v>#define MPU_NS_END_REG2     0x00000020</v>
      </c>
    </row>
    <row r="1247" spans="1:2" x14ac:dyDescent="0.25">
      <c r="B1247" s="18" t="str">
        <f>"#define MPU_NS_LIMIT_REG"&amp;A1235&amp;"   (MPU_NS_END_REG"&amp;A1235&amp;" - 1u)"</f>
        <v>#define MPU_NS_LIMIT_REG2   (MPU_NS_END_REG2 - 1u)</v>
      </c>
    </row>
    <row r="1248" spans="1:2" x14ac:dyDescent="0.25">
      <c r="B1248" s="18" t="s">
        <v>9</v>
      </c>
    </row>
    <row r="1249" spans="1:2" x14ac:dyDescent="0.25">
      <c r="B1249" s="18" t="s">
        <v>57</v>
      </c>
    </row>
    <row r="1250" spans="1:2" x14ac:dyDescent="0.25">
      <c r="B1250" s="18" t="s">
        <v>58</v>
      </c>
    </row>
    <row r="1251" spans="1:2" x14ac:dyDescent="0.25">
      <c r="B1251" s="18" t="s">
        <v>59</v>
      </c>
    </row>
    <row r="1252" spans="1:2" x14ac:dyDescent="0.25">
      <c r="B1252" s="18" t="s">
        <v>60</v>
      </c>
    </row>
    <row r="1253" spans="1:2" x14ac:dyDescent="0.25">
      <c r="A1253">
        <f>A1236+4</f>
        <v>31</v>
      </c>
      <c r="B1253" s="18" t="str" cm="1">
        <f t="array" aca="1" ref="B1253" ca="1">"#define MPU_NS_PERM_REG"&amp;A1235&amp;"    "&amp;INDIRECT("CONFIG_NS!A"&amp;A1253)-1</f>
        <v>#define MPU_NS_PERM_REG2    0</v>
      </c>
    </row>
    <row r="1254" spans="1:2" x14ac:dyDescent="0.25">
      <c r="B1254" s="18" t="s">
        <v>10</v>
      </c>
    </row>
    <row r="1255" spans="1:2" x14ac:dyDescent="0.25">
      <c r="A1255">
        <f>A1236+5</f>
        <v>32</v>
      </c>
      <c r="B1255" s="18" t="str">
        <f ca="1">"#define MPU_NS_XN_REG"&amp;A1235&amp;"      "&amp;N(INDIRECT("CONFIG_NS!A"&amp;A1255))</f>
        <v>#define MPU_NS_XN_REG2      0</v>
      </c>
    </row>
    <row r="1256" spans="1:2" x14ac:dyDescent="0.25">
      <c r="B1256" s="18" t="s">
        <v>61</v>
      </c>
    </row>
    <row r="1257" spans="1:2" x14ac:dyDescent="0.25">
      <c r="A1257">
        <f>A1238+6</f>
        <v>33</v>
      </c>
      <c r="B1257" s="18" t="str">
        <f ca="1">"#define MPU_NS_PXN_REG"&amp;A1235&amp;"     "&amp;N(INDIRECT("CONFIG_NS!A"&amp;A1257))</f>
        <v>#define MPU_NS_PXN_REG2     0</v>
      </c>
    </row>
    <row r="1258" spans="1:2" x14ac:dyDescent="0.25">
      <c r="B1258" s="18" t="s">
        <v>69</v>
      </c>
    </row>
    <row r="1259" spans="1:2" x14ac:dyDescent="0.25">
      <c r="B1259" s="18" t="s">
        <v>11</v>
      </c>
    </row>
    <row r="1260" spans="1:2" x14ac:dyDescent="0.25">
      <c r="B1260" s="18" t="s">
        <v>70</v>
      </c>
    </row>
    <row r="1261" spans="1:2" x14ac:dyDescent="0.25">
      <c r="B1261" s="18" t="s">
        <v>71</v>
      </c>
    </row>
    <row r="1262" spans="1:2" x14ac:dyDescent="0.25">
      <c r="B1262" s="18" t="s">
        <v>72</v>
      </c>
    </row>
    <row r="1263" spans="1:2" x14ac:dyDescent="0.25">
      <c r="A1263">
        <f>A1236+7</f>
        <v>34</v>
      </c>
      <c r="B1263" s="18" t="str" cm="1">
        <f t="array" aca="1" ref="B1263" ca="1">"#define MPU_NS_SHARE_REG"&amp;A1235&amp;"   "&amp;(INDIRECT("CONFIG_NS!A"&amp;A1263)-1)</f>
        <v>#define MPU_NS_SHARE_REG2   1</v>
      </c>
    </row>
    <row r="1264" spans="1:2" x14ac:dyDescent="0.25">
      <c r="B1264" s="18" t="s">
        <v>62</v>
      </c>
    </row>
    <row r="1265" spans="1:2" x14ac:dyDescent="0.25">
      <c r="B1265" s="18" t="s">
        <v>75</v>
      </c>
    </row>
    <row r="1266" spans="1:2" x14ac:dyDescent="0.25">
      <c r="B1266" s="18" t="s">
        <v>76</v>
      </c>
    </row>
    <row r="1267" spans="1:2" x14ac:dyDescent="0.25">
      <c r="B1267" s="18" t="s">
        <v>77</v>
      </c>
    </row>
    <row r="1268" spans="1:2" x14ac:dyDescent="0.25">
      <c r="B1268" s="18" t="s">
        <v>78</v>
      </c>
    </row>
    <row r="1269" spans="1:2" x14ac:dyDescent="0.25">
      <c r="B1269" s="18" t="s">
        <v>79</v>
      </c>
    </row>
    <row r="1270" spans="1:2" x14ac:dyDescent="0.25">
      <c r="B1270" s="18" t="s">
        <v>80</v>
      </c>
    </row>
    <row r="1271" spans="1:2" x14ac:dyDescent="0.25">
      <c r="B1271" s="18" t="s">
        <v>81</v>
      </c>
    </row>
    <row r="1272" spans="1:2" x14ac:dyDescent="0.25">
      <c r="B1272" s="18" t="s">
        <v>82</v>
      </c>
    </row>
    <row r="1273" spans="1:2" x14ac:dyDescent="0.25">
      <c r="A1273">
        <f>A1236+8</f>
        <v>35</v>
      </c>
      <c r="B1273" s="18" t="str" cm="1">
        <f t="array" aca="1" ref="B1273" ca="1">"#define MPU_NS_ATTRIND"&amp;A1235&amp;"     "&amp;INDIRECT("CONFIG_NS!A"&amp;A1273)-1</f>
        <v>#define MPU_NS_ATTRIND2     0</v>
      </c>
    </row>
    <row r="1274" spans="1:2" x14ac:dyDescent="0.25">
      <c r="B1274" s="18" t="str">
        <f>"//   &lt;/e&gt;   //MPU_NS Region "&amp;A1235&amp;" ********************************"</f>
        <v>//   &lt;/e&gt;   //MPU_NS Region 2 ********************************</v>
      </c>
    </row>
    <row r="1275" spans="1:2" x14ac:dyDescent="0.25">
      <c r="B1275" s="18" t="s">
        <v>138</v>
      </c>
    </row>
    <row r="1276" spans="1:2" x14ac:dyDescent="0.25">
      <c r="A1276" s="25">
        <f>A1235+1</f>
        <v>3</v>
      </c>
      <c r="B1276" s="18" t="str">
        <f>"// MPU_NS Region "&amp;A1276&amp;" ********************************"</f>
        <v>// MPU_NS Region 3 ********************************</v>
      </c>
    </row>
    <row r="1277" spans="1:2" x14ac:dyDescent="0.25">
      <c r="A1277" s="25">
        <f>A1236+10</f>
        <v>37</v>
      </c>
      <c r="B1277" s="18" t="str">
        <f>"// &lt;e&gt;Configure MPU_NS Region "&amp;A1276</f>
        <v>// &lt;e&gt;Configure MPU_NS Region 3</v>
      </c>
    </row>
    <row r="1278" spans="1:2" x14ac:dyDescent="0.25">
      <c r="B1278" s="18" t="s">
        <v>29</v>
      </c>
    </row>
    <row r="1279" spans="1:2" x14ac:dyDescent="0.25">
      <c r="A1279">
        <f>A1277</f>
        <v>37</v>
      </c>
      <c r="B1279" s="18" t="str">
        <f ca="1">"#define MPU_NS_CONFIG_REG"&amp;A1276&amp;"  "&amp;N(INDIRECT("CONFIG_NS!A"&amp;A1279))</f>
        <v>#define MPU_NS_CONFIG_REG3  0</v>
      </c>
    </row>
    <row r="1280" spans="1:2" x14ac:dyDescent="0.25">
      <c r="B1280" s="18" t="s">
        <v>7</v>
      </c>
    </row>
    <row r="1281" spans="1:2" x14ac:dyDescent="0.25">
      <c r="A1281">
        <f>A1277+1</f>
        <v>38</v>
      </c>
      <c r="B1281" s="18" t="str">
        <f ca="1">"#define MPU_NS_ENABLE_REG"&amp;A1276&amp;"  "&amp;N(INDIRECT("CONFIG_NS!A"&amp;A1281))</f>
        <v>#define MPU_NS_ENABLE_REG3  1</v>
      </c>
    </row>
    <row r="1282" spans="1:2" x14ac:dyDescent="0.25">
      <c r="B1282" s="18" t="s">
        <v>8</v>
      </c>
    </row>
    <row r="1283" spans="1:2" x14ac:dyDescent="0.25">
      <c r="B1283" s="18" t="s">
        <v>54</v>
      </c>
    </row>
    <row r="1284" spans="1:2" x14ac:dyDescent="0.25">
      <c r="A1284">
        <f>A1277+2</f>
        <v>39</v>
      </c>
      <c r="B1284" s="18" t="str" cm="1">
        <f t="array" aca="1" ref="B1284" ca="1">"#define MPU_NS_BASE_REG"&amp;A1276&amp;"    0x"&amp;INDIRECT("CONFIG_NS!A"&amp;A1284)</f>
        <v>#define MPU_NS_BASE_REG3    0x00000000</v>
      </c>
    </row>
    <row r="1285" spans="1:2" x14ac:dyDescent="0.25">
      <c r="B1285" s="18" t="s">
        <v>55</v>
      </c>
    </row>
    <row r="1286" spans="1:2" x14ac:dyDescent="0.25">
      <c r="B1286" s="18" t="s">
        <v>56</v>
      </c>
    </row>
    <row r="1287" spans="1:2" x14ac:dyDescent="0.25">
      <c r="A1287">
        <f>A1277+3</f>
        <v>40</v>
      </c>
      <c r="B1287" s="18" t="str">
        <f ca="1">"#define MPU_NS_END_REG"&amp;A1276&amp;"     0x"&amp;DEC2HEX(HEX2DEC(INDIRECT("CONFIG_NS!A"&amp;A1287))+1,8)</f>
        <v>#define MPU_NS_END_REG3     0x00000020</v>
      </c>
    </row>
    <row r="1288" spans="1:2" x14ac:dyDescent="0.25">
      <c r="B1288" s="18" t="str">
        <f>"#define MPU_NS_LIMIT_REG"&amp;A1276&amp;"   (MPU_NS_END_REG"&amp;A1276&amp;" - 1u)"</f>
        <v>#define MPU_NS_LIMIT_REG3   (MPU_NS_END_REG3 - 1u)</v>
      </c>
    </row>
    <row r="1289" spans="1:2" x14ac:dyDescent="0.25">
      <c r="B1289" s="18" t="s">
        <v>9</v>
      </c>
    </row>
    <row r="1290" spans="1:2" x14ac:dyDescent="0.25">
      <c r="B1290" s="18" t="s">
        <v>57</v>
      </c>
    </row>
    <row r="1291" spans="1:2" x14ac:dyDescent="0.25">
      <c r="B1291" s="18" t="s">
        <v>58</v>
      </c>
    </row>
    <row r="1292" spans="1:2" x14ac:dyDescent="0.25">
      <c r="B1292" s="18" t="s">
        <v>59</v>
      </c>
    </row>
    <row r="1293" spans="1:2" x14ac:dyDescent="0.25">
      <c r="B1293" s="18" t="s">
        <v>60</v>
      </c>
    </row>
    <row r="1294" spans="1:2" x14ac:dyDescent="0.25">
      <c r="A1294">
        <f>A1277+4</f>
        <v>41</v>
      </c>
      <c r="B1294" s="18" t="str" cm="1">
        <f t="array" aca="1" ref="B1294" ca="1">"#define MPU_NS_PERM_REG"&amp;A1276&amp;"    "&amp;INDIRECT("CONFIG_NS!A"&amp;A1294)-1</f>
        <v>#define MPU_NS_PERM_REG3    0</v>
      </c>
    </row>
    <row r="1295" spans="1:2" x14ac:dyDescent="0.25">
      <c r="B1295" s="18" t="s">
        <v>10</v>
      </c>
    </row>
    <row r="1296" spans="1:2" x14ac:dyDescent="0.25">
      <c r="A1296">
        <f>A1277+5</f>
        <v>42</v>
      </c>
      <c r="B1296" s="18" t="str">
        <f ca="1">"#define MPU_NS_XN_REG"&amp;A1276&amp;"      "&amp;N(INDIRECT("CONFIG_NS!A"&amp;A1296))</f>
        <v>#define MPU_NS_XN_REG3      0</v>
      </c>
    </row>
    <row r="1297" spans="1:2" x14ac:dyDescent="0.25">
      <c r="B1297" s="18" t="s">
        <v>61</v>
      </c>
    </row>
    <row r="1298" spans="1:2" x14ac:dyDescent="0.25">
      <c r="A1298">
        <f>A1279+6</f>
        <v>43</v>
      </c>
      <c r="B1298" s="18" t="str">
        <f ca="1">"#define MPU_NS_PXN_REG"&amp;A1276&amp;"     "&amp;N(INDIRECT("CONFIG_NS!A"&amp;A1298))</f>
        <v>#define MPU_NS_PXN_REG3     0</v>
      </c>
    </row>
    <row r="1299" spans="1:2" x14ac:dyDescent="0.25">
      <c r="B1299" s="18" t="s">
        <v>69</v>
      </c>
    </row>
    <row r="1300" spans="1:2" x14ac:dyDescent="0.25">
      <c r="B1300" s="18" t="s">
        <v>11</v>
      </c>
    </row>
    <row r="1301" spans="1:2" x14ac:dyDescent="0.25">
      <c r="B1301" s="18" t="s">
        <v>70</v>
      </c>
    </row>
    <row r="1302" spans="1:2" x14ac:dyDescent="0.25">
      <c r="B1302" s="18" t="s">
        <v>71</v>
      </c>
    </row>
    <row r="1303" spans="1:2" x14ac:dyDescent="0.25">
      <c r="B1303" s="18" t="s">
        <v>72</v>
      </c>
    </row>
    <row r="1304" spans="1:2" x14ac:dyDescent="0.25">
      <c r="A1304">
        <f>A1277+7</f>
        <v>44</v>
      </c>
      <c r="B1304" s="18" t="str" cm="1">
        <f t="array" aca="1" ref="B1304" ca="1">"#define MPU_NS_SHARE_REG"&amp;A1276&amp;"   "&amp;(INDIRECT("CONFIG_NS!A"&amp;A1304)-1)</f>
        <v>#define MPU_NS_SHARE_REG3   0</v>
      </c>
    </row>
    <row r="1305" spans="1:2" x14ac:dyDescent="0.25">
      <c r="B1305" s="18" t="s">
        <v>62</v>
      </c>
    </row>
    <row r="1306" spans="1:2" x14ac:dyDescent="0.25">
      <c r="B1306" s="18" t="s">
        <v>75</v>
      </c>
    </row>
    <row r="1307" spans="1:2" x14ac:dyDescent="0.25">
      <c r="B1307" s="18" t="s">
        <v>76</v>
      </c>
    </row>
    <row r="1308" spans="1:2" x14ac:dyDescent="0.25">
      <c r="B1308" s="18" t="s">
        <v>77</v>
      </c>
    </row>
    <row r="1309" spans="1:2" x14ac:dyDescent="0.25">
      <c r="B1309" s="18" t="s">
        <v>78</v>
      </c>
    </row>
    <row r="1310" spans="1:2" x14ac:dyDescent="0.25">
      <c r="B1310" s="18" t="s">
        <v>79</v>
      </c>
    </row>
    <row r="1311" spans="1:2" x14ac:dyDescent="0.25">
      <c r="B1311" s="18" t="s">
        <v>80</v>
      </c>
    </row>
    <row r="1312" spans="1:2" x14ac:dyDescent="0.25">
      <c r="B1312" s="18" t="s">
        <v>81</v>
      </c>
    </row>
    <row r="1313" spans="1:2" x14ac:dyDescent="0.25">
      <c r="B1313" s="18" t="s">
        <v>82</v>
      </c>
    </row>
    <row r="1314" spans="1:2" x14ac:dyDescent="0.25">
      <c r="A1314">
        <f>A1277+8</f>
        <v>45</v>
      </c>
      <c r="B1314" s="18" t="str" cm="1">
        <f t="array" aca="1" ref="B1314" ca="1">"#define MPU_NS_ATTRIND"&amp;A1276&amp;"     "&amp;INDIRECT("CONFIG_NS!A"&amp;A1314)-1</f>
        <v>#define MPU_NS_ATTRIND3     0</v>
      </c>
    </row>
    <row r="1315" spans="1:2" x14ac:dyDescent="0.25">
      <c r="B1315" s="18" t="str">
        <f>"//   &lt;/e&gt;   //MPU_NS Region "&amp;A1276&amp;" ********************************"</f>
        <v>//   &lt;/e&gt;   //MPU_NS Region 3 ********************************</v>
      </c>
    </row>
    <row r="1316" spans="1:2" x14ac:dyDescent="0.25">
      <c r="B1316" s="18" t="s">
        <v>138</v>
      </c>
    </row>
    <row r="1317" spans="1:2" x14ac:dyDescent="0.25">
      <c r="A1317" s="25">
        <f>A1276+1</f>
        <v>4</v>
      </c>
      <c r="B1317" s="18" t="str">
        <f>"// MPU_NS Region "&amp;A1317&amp;" ********************************"</f>
        <v>// MPU_NS Region 4 ********************************</v>
      </c>
    </row>
    <row r="1318" spans="1:2" x14ac:dyDescent="0.25">
      <c r="A1318" s="25">
        <f>A1277+10</f>
        <v>47</v>
      </c>
      <c r="B1318" s="18" t="str">
        <f>"// &lt;e&gt;Configure MPU_NS Region "&amp;A1317</f>
        <v>// &lt;e&gt;Configure MPU_NS Region 4</v>
      </c>
    </row>
    <row r="1319" spans="1:2" x14ac:dyDescent="0.25">
      <c r="B1319" s="18" t="s">
        <v>29</v>
      </c>
    </row>
    <row r="1320" spans="1:2" x14ac:dyDescent="0.25">
      <c r="A1320">
        <f>A1318</f>
        <v>47</v>
      </c>
      <c r="B1320" s="18" t="str">
        <f ca="1">"#define MPU_NS_CONFIG_REG"&amp;A1317&amp;"  "&amp;N(INDIRECT("CONFIG_NS!A"&amp;A1320))</f>
        <v>#define MPU_NS_CONFIG_REG4  0</v>
      </c>
    </row>
    <row r="1321" spans="1:2" x14ac:dyDescent="0.25">
      <c r="B1321" s="18" t="s">
        <v>7</v>
      </c>
    </row>
    <row r="1322" spans="1:2" x14ac:dyDescent="0.25">
      <c r="A1322">
        <f>A1318+1</f>
        <v>48</v>
      </c>
      <c r="B1322" s="18" t="str">
        <f ca="1">"#define MPU_NS_ENABLE_REG"&amp;A1317&amp;"  "&amp;N(INDIRECT("CONFIG_NS!A"&amp;A1322))</f>
        <v>#define MPU_NS_ENABLE_REG4  1</v>
      </c>
    </row>
    <row r="1323" spans="1:2" x14ac:dyDescent="0.25">
      <c r="B1323" s="18" t="s">
        <v>8</v>
      </c>
    </row>
    <row r="1324" spans="1:2" x14ac:dyDescent="0.25">
      <c r="B1324" s="18" t="s">
        <v>54</v>
      </c>
    </row>
    <row r="1325" spans="1:2" x14ac:dyDescent="0.25">
      <c r="A1325">
        <f>A1318+2</f>
        <v>49</v>
      </c>
      <c r="B1325" s="18" t="str" cm="1">
        <f t="array" aca="1" ref="B1325" ca="1">"#define MPU_NS_BASE_REG"&amp;A1317&amp;"    0x"&amp;INDIRECT("CONFIG_NS!A"&amp;A1325)</f>
        <v>#define MPU_NS_BASE_REG4    0x00000000</v>
      </c>
    </row>
    <row r="1326" spans="1:2" x14ac:dyDescent="0.25">
      <c r="B1326" s="18" t="s">
        <v>55</v>
      </c>
    </row>
    <row r="1327" spans="1:2" x14ac:dyDescent="0.25">
      <c r="B1327" s="18" t="s">
        <v>56</v>
      </c>
    </row>
    <row r="1328" spans="1:2" x14ac:dyDescent="0.25">
      <c r="A1328">
        <f>A1318+3</f>
        <v>50</v>
      </c>
      <c r="B1328" s="18" t="str">
        <f ca="1">"#define MPU_NS_END_REG"&amp;A1317&amp;"     0x"&amp;DEC2HEX(HEX2DEC(INDIRECT("CONFIG_NS!A"&amp;A1328))+1,8)</f>
        <v>#define MPU_NS_END_REG4     0x00000020</v>
      </c>
    </row>
    <row r="1329" spans="1:2" x14ac:dyDescent="0.25">
      <c r="B1329" s="18" t="str">
        <f>"#define MPU_NS_LIMIT_REG"&amp;A1317&amp;"   (MPU_NS_END_REG"&amp;A1317&amp;" - 1u)"</f>
        <v>#define MPU_NS_LIMIT_REG4   (MPU_NS_END_REG4 - 1u)</v>
      </c>
    </row>
    <row r="1330" spans="1:2" x14ac:dyDescent="0.25">
      <c r="B1330" s="18" t="s">
        <v>9</v>
      </c>
    </row>
    <row r="1331" spans="1:2" x14ac:dyDescent="0.25">
      <c r="B1331" s="18" t="s">
        <v>57</v>
      </c>
    </row>
    <row r="1332" spans="1:2" x14ac:dyDescent="0.25">
      <c r="B1332" s="18" t="s">
        <v>58</v>
      </c>
    </row>
    <row r="1333" spans="1:2" x14ac:dyDescent="0.25">
      <c r="B1333" s="18" t="s">
        <v>59</v>
      </c>
    </row>
    <row r="1334" spans="1:2" x14ac:dyDescent="0.25">
      <c r="B1334" s="18" t="s">
        <v>60</v>
      </c>
    </row>
    <row r="1335" spans="1:2" x14ac:dyDescent="0.25">
      <c r="A1335">
        <f>A1318+4</f>
        <v>51</v>
      </c>
      <c r="B1335" s="18" t="str" cm="1">
        <f t="array" aca="1" ref="B1335" ca="1">"#define MPU_NS_PERM_REG"&amp;A1317&amp;"    "&amp;INDIRECT("CONFIG_NS!A"&amp;A1335)-1</f>
        <v>#define MPU_NS_PERM_REG4    0</v>
      </c>
    </row>
    <row r="1336" spans="1:2" x14ac:dyDescent="0.25">
      <c r="B1336" s="18" t="s">
        <v>10</v>
      </c>
    </row>
    <row r="1337" spans="1:2" x14ac:dyDescent="0.25">
      <c r="A1337">
        <f>A1318+5</f>
        <v>52</v>
      </c>
      <c r="B1337" s="18" t="str">
        <f ca="1">"#define MPU_NS_XN_REG"&amp;A1317&amp;"      "&amp;N(INDIRECT("CONFIG_NS!A"&amp;A1337))</f>
        <v>#define MPU_NS_XN_REG4      0</v>
      </c>
    </row>
    <row r="1338" spans="1:2" x14ac:dyDescent="0.25">
      <c r="B1338" s="18" t="s">
        <v>61</v>
      </c>
    </row>
    <row r="1339" spans="1:2" x14ac:dyDescent="0.25">
      <c r="A1339">
        <f>A1320+6</f>
        <v>53</v>
      </c>
      <c r="B1339" s="18" t="str">
        <f ca="1">"#define MPU_NS_PXN_REG"&amp;A1317&amp;"     "&amp;N(INDIRECT("CONFIG_NS!A"&amp;A1339))</f>
        <v>#define MPU_NS_PXN_REG4     0</v>
      </c>
    </row>
    <row r="1340" spans="1:2" x14ac:dyDescent="0.25">
      <c r="B1340" s="18" t="s">
        <v>69</v>
      </c>
    </row>
    <row r="1341" spans="1:2" x14ac:dyDescent="0.25">
      <c r="B1341" s="18" t="s">
        <v>11</v>
      </c>
    </row>
    <row r="1342" spans="1:2" x14ac:dyDescent="0.25">
      <c r="B1342" s="18" t="s">
        <v>70</v>
      </c>
    </row>
    <row r="1343" spans="1:2" x14ac:dyDescent="0.25">
      <c r="B1343" s="18" t="s">
        <v>71</v>
      </c>
    </row>
    <row r="1344" spans="1:2" x14ac:dyDescent="0.25">
      <c r="B1344" s="18" t="s">
        <v>72</v>
      </c>
    </row>
    <row r="1345" spans="1:2" x14ac:dyDescent="0.25">
      <c r="A1345">
        <f>A1318+7</f>
        <v>54</v>
      </c>
      <c r="B1345" s="18" t="str" cm="1">
        <f t="array" aca="1" ref="B1345" ca="1">"#define MPU_NS_SHARE_REG"&amp;A1317&amp;"   "&amp;(INDIRECT("CONFIG_NS!A"&amp;A1345)-1)</f>
        <v>#define MPU_NS_SHARE_REG4   0</v>
      </c>
    </row>
    <row r="1346" spans="1:2" x14ac:dyDescent="0.25">
      <c r="B1346" s="18" t="s">
        <v>62</v>
      </c>
    </row>
    <row r="1347" spans="1:2" x14ac:dyDescent="0.25">
      <c r="B1347" s="18" t="s">
        <v>75</v>
      </c>
    </row>
    <row r="1348" spans="1:2" x14ac:dyDescent="0.25">
      <c r="B1348" s="18" t="s">
        <v>76</v>
      </c>
    </row>
    <row r="1349" spans="1:2" x14ac:dyDescent="0.25">
      <c r="B1349" s="18" t="s">
        <v>77</v>
      </c>
    </row>
    <row r="1350" spans="1:2" x14ac:dyDescent="0.25">
      <c r="B1350" s="18" t="s">
        <v>78</v>
      </c>
    </row>
    <row r="1351" spans="1:2" x14ac:dyDescent="0.25">
      <c r="B1351" s="18" t="s">
        <v>79</v>
      </c>
    </row>
    <row r="1352" spans="1:2" x14ac:dyDescent="0.25">
      <c r="B1352" s="18" t="s">
        <v>80</v>
      </c>
    </row>
    <row r="1353" spans="1:2" x14ac:dyDescent="0.25">
      <c r="B1353" s="18" t="s">
        <v>81</v>
      </c>
    </row>
    <row r="1354" spans="1:2" x14ac:dyDescent="0.25">
      <c r="B1354" s="18" t="s">
        <v>82</v>
      </c>
    </row>
    <row r="1355" spans="1:2" x14ac:dyDescent="0.25">
      <c r="A1355">
        <f>A1318+8</f>
        <v>55</v>
      </c>
      <c r="B1355" s="18" t="str" cm="1">
        <f t="array" aca="1" ref="B1355" ca="1">"#define MPU_NS_ATTRIND"&amp;A1317&amp;"     "&amp;INDIRECT("CONFIG_NS!A"&amp;A1355)-1</f>
        <v>#define MPU_NS_ATTRIND4     0</v>
      </c>
    </row>
    <row r="1356" spans="1:2" x14ac:dyDescent="0.25">
      <c r="B1356" s="18" t="str">
        <f>"//   &lt;/e&gt;   //MPU_NS Region "&amp;A1317&amp;" ********************************"</f>
        <v>//   &lt;/e&gt;   //MPU_NS Region 4 ********************************</v>
      </c>
    </row>
    <row r="1357" spans="1:2" x14ac:dyDescent="0.25">
      <c r="B1357" s="18" t="s">
        <v>138</v>
      </c>
    </row>
    <row r="1358" spans="1:2" x14ac:dyDescent="0.25">
      <c r="A1358" s="25">
        <f>A1317+1</f>
        <v>5</v>
      </c>
      <c r="B1358" s="18" t="str">
        <f>"// MPU_NS Region "&amp;A1358&amp;" ********************************"</f>
        <v>// MPU_NS Region 5 ********************************</v>
      </c>
    </row>
    <row r="1359" spans="1:2" x14ac:dyDescent="0.25">
      <c r="A1359" s="25">
        <f>A1318+10</f>
        <v>57</v>
      </c>
      <c r="B1359" s="18" t="str">
        <f>"// &lt;e&gt;Configure MPU_NS Region "&amp;A1358</f>
        <v>// &lt;e&gt;Configure MPU_NS Region 5</v>
      </c>
    </row>
    <row r="1360" spans="1:2" x14ac:dyDescent="0.25">
      <c r="B1360" s="18" t="s">
        <v>29</v>
      </c>
    </row>
    <row r="1361" spans="1:2" x14ac:dyDescent="0.25">
      <c r="A1361">
        <f>A1359</f>
        <v>57</v>
      </c>
      <c r="B1361" s="18" t="str">
        <f ca="1">"#define MPU_NS_CONFIG_REG"&amp;A1358&amp;"  "&amp;N(INDIRECT("CONFIG_NS!A"&amp;A1361))</f>
        <v>#define MPU_NS_CONFIG_REG5  0</v>
      </c>
    </row>
    <row r="1362" spans="1:2" x14ac:dyDescent="0.25">
      <c r="B1362" s="18" t="s">
        <v>7</v>
      </c>
    </row>
    <row r="1363" spans="1:2" x14ac:dyDescent="0.25">
      <c r="A1363">
        <f>A1359+1</f>
        <v>58</v>
      </c>
      <c r="B1363" s="18" t="str">
        <f ca="1">"#define MPU_NS_ENABLE_REG"&amp;A1358&amp;"  "&amp;N(INDIRECT("CONFIG_NS!A"&amp;A1363))</f>
        <v>#define MPU_NS_ENABLE_REG5  1</v>
      </c>
    </row>
    <row r="1364" spans="1:2" x14ac:dyDescent="0.25">
      <c r="B1364" s="18" t="s">
        <v>8</v>
      </c>
    </row>
    <row r="1365" spans="1:2" x14ac:dyDescent="0.25">
      <c r="B1365" s="18" t="s">
        <v>54</v>
      </c>
    </row>
    <row r="1366" spans="1:2" x14ac:dyDescent="0.25">
      <c r="A1366">
        <f>A1359+2</f>
        <v>59</v>
      </c>
      <c r="B1366" s="18" t="str" cm="1">
        <f t="array" aca="1" ref="B1366" ca="1">"#define MPU_NS_BASE_REG"&amp;A1358&amp;"    0x"&amp;INDIRECT("CONFIG_NS!A"&amp;A1366)</f>
        <v>#define MPU_NS_BASE_REG5    0x00000000</v>
      </c>
    </row>
    <row r="1367" spans="1:2" x14ac:dyDescent="0.25">
      <c r="B1367" s="18" t="s">
        <v>55</v>
      </c>
    </row>
    <row r="1368" spans="1:2" x14ac:dyDescent="0.25">
      <c r="B1368" s="18" t="s">
        <v>56</v>
      </c>
    </row>
    <row r="1369" spans="1:2" x14ac:dyDescent="0.25">
      <c r="A1369">
        <f>A1359+3</f>
        <v>60</v>
      </c>
      <c r="B1369" s="18" t="str">
        <f ca="1">"#define MPU_NS_END_REG"&amp;A1358&amp;"     0x"&amp;DEC2HEX(HEX2DEC(INDIRECT("CONFIG_NS!A"&amp;A1369))+1,8)</f>
        <v>#define MPU_NS_END_REG5     0x00000020</v>
      </c>
    </row>
    <row r="1370" spans="1:2" x14ac:dyDescent="0.25">
      <c r="B1370" s="18" t="str">
        <f>"#define MPU_NS_LIMIT_REG"&amp;A1358&amp;"   (MPU_NS_END_REG"&amp;A1358&amp;" - 1u)"</f>
        <v>#define MPU_NS_LIMIT_REG5   (MPU_NS_END_REG5 - 1u)</v>
      </c>
    </row>
    <row r="1371" spans="1:2" x14ac:dyDescent="0.25">
      <c r="B1371" s="18" t="s">
        <v>9</v>
      </c>
    </row>
    <row r="1372" spans="1:2" x14ac:dyDescent="0.25">
      <c r="B1372" s="18" t="s">
        <v>57</v>
      </c>
    </row>
    <row r="1373" spans="1:2" x14ac:dyDescent="0.25">
      <c r="B1373" s="18" t="s">
        <v>58</v>
      </c>
    </row>
    <row r="1374" spans="1:2" x14ac:dyDescent="0.25">
      <c r="B1374" s="18" t="s">
        <v>59</v>
      </c>
    </row>
    <row r="1375" spans="1:2" x14ac:dyDescent="0.25">
      <c r="B1375" s="18" t="s">
        <v>60</v>
      </c>
    </row>
    <row r="1376" spans="1:2" x14ac:dyDescent="0.25">
      <c r="A1376">
        <f>A1359+4</f>
        <v>61</v>
      </c>
      <c r="B1376" s="18" t="str" cm="1">
        <f t="array" aca="1" ref="B1376" ca="1">"#define MPU_NS_PERM_REG"&amp;A1358&amp;"    "&amp;INDIRECT("CONFIG_NS!A"&amp;A1376)-1</f>
        <v>#define MPU_NS_PERM_REG5    0</v>
      </c>
    </row>
    <row r="1377" spans="1:2" x14ac:dyDescent="0.25">
      <c r="B1377" s="18" t="s">
        <v>10</v>
      </c>
    </row>
    <row r="1378" spans="1:2" x14ac:dyDescent="0.25">
      <c r="A1378">
        <f>A1359+5</f>
        <v>62</v>
      </c>
      <c r="B1378" s="18" t="str">
        <f ca="1">"#define MPU_NS_XN_REG"&amp;A1358&amp;"      "&amp;N(INDIRECT("CONFIG_NS!A"&amp;A1378))</f>
        <v>#define MPU_NS_XN_REG5      0</v>
      </c>
    </row>
    <row r="1379" spans="1:2" x14ac:dyDescent="0.25">
      <c r="B1379" s="18" t="s">
        <v>61</v>
      </c>
    </row>
    <row r="1380" spans="1:2" x14ac:dyDescent="0.25">
      <c r="A1380">
        <f>A1361+6</f>
        <v>63</v>
      </c>
      <c r="B1380" s="18" t="str">
        <f ca="1">"#define MPU_NS_PXN_REG"&amp;A1358&amp;"     "&amp;N(INDIRECT("CONFIG_NS!A"&amp;A1380))</f>
        <v>#define MPU_NS_PXN_REG5     0</v>
      </c>
    </row>
    <row r="1381" spans="1:2" x14ac:dyDescent="0.25">
      <c r="B1381" s="18" t="s">
        <v>69</v>
      </c>
    </row>
    <row r="1382" spans="1:2" x14ac:dyDescent="0.25">
      <c r="B1382" s="18" t="s">
        <v>11</v>
      </c>
    </row>
    <row r="1383" spans="1:2" x14ac:dyDescent="0.25">
      <c r="B1383" s="18" t="s">
        <v>70</v>
      </c>
    </row>
    <row r="1384" spans="1:2" x14ac:dyDescent="0.25">
      <c r="B1384" s="18" t="s">
        <v>71</v>
      </c>
    </row>
    <row r="1385" spans="1:2" x14ac:dyDescent="0.25">
      <c r="B1385" s="18" t="s">
        <v>72</v>
      </c>
    </row>
    <row r="1386" spans="1:2" x14ac:dyDescent="0.25">
      <c r="A1386">
        <f>A1359+7</f>
        <v>64</v>
      </c>
      <c r="B1386" s="18" t="str" cm="1">
        <f t="array" aca="1" ref="B1386" ca="1">"#define MPU_NS_SHARE_REG"&amp;A1358&amp;"   "&amp;(INDIRECT("CONFIG_NS!A"&amp;A1386)-1)</f>
        <v>#define MPU_NS_SHARE_REG5   1</v>
      </c>
    </row>
    <row r="1387" spans="1:2" x14ac:dyDescent="0.25">
      <c r="B1387" s="18" t="s">
        <v>62</v>
      </c>
    </row>
    <row r="1388" spans="1:2" x14ac:dyDescent="0.25">
      <c r="B1388" s="18" t="s">
        <v>75</v>
      </c>
    </row>
    <row r="1389" spans="1:2" x14ac:dyDescent="0.25">
      <c r="B1389" s="18" t="s">
        <v>76</v>
      </c>
    </row>
    <row r="1390" spans="1:2" x14ac:dyDescent="0.25">
      <c r="B1390" s="18" t="s">
        <v>77</v>
      </c>
    </row>
    <row r="1391" spans="1:2" x14ac:dyDescent="0.25">
      <c r="B1391" s="18" t="s">
        <v>78</v>
      </c>
    </row>
    <row r="1392" spans="1:2" x14ac:dyDescent="0.25">
      <c r="B1392" s="18" t="s">
        <v>79</v>
      </c>
    </row>
    <row r="1393" spans="1:2" x14ac:dyDescent="0.25">
      <c r="B1393" s="18" t="s">
        <v>80</v>
      </c>
    </row>
    <row r="1394" spans="1:2" x14ac:dyDescent="0.25">
      <c r="B1394" s="18" t="s">
        <v>81</v>
      </c>
    </row>
    <row r="1395" spans="1:2" x14ac:dyDescent="0.25">
      <c r="B1395" s="18" t="s">
        <v>82</v>
      </c>
    </row>
    <row r="1396" spans="1:2" x14ac:dyDescent="0.25">
      <c r="A1396">
        <f>A1359+8</f>
        <v>65</v>
      </c>
      <c r="B1396" s="18" t="str" cm="1">
        <f t="array" aca="1" ref="B1396" ca="1">"#define MPU_NS_ATTRIND"&amp;A1358&amp;"     "&amp;INDIRECT("CONFIG_NS!A"&amp;A1396)-1</f>
        <v>#define MPU_NS_ATTRIND5     7</v>
      </c>
    </row>
    <row r="1397" spans="1:2" x14ac:dyDescent="0.25">
      <c r="B1397" s="18" t="str">
        <f>"//   &lt;/e&gt;   //MPU_NS Region "&amp;A1358&amp;" ********************************"</f>
        <v>//   &lt;/e&gt;   //MPU_NS Region 5 ********************************</v>
      </c>
    </row>
    <row r="1398" spans="1:2" x14ac:dyDescent="0.25">
      <c r="B1398" s="18" t="s">
        <v>138</v>
      </c>
    </row>
    <row r="1399" spans="1:2" x14ac:dyDescent="0.25">
      <c r="A1399" s="25">
        <f>A1358+1</f>
        <v>6</v>
      </c>
      <c r="B1399" s="18" t="str">
        <f>"// MPU_NS Region "&amp;A1399&amp;" ********************************"</f>
        <v>// MPU_NS Region 6 ********************************</v>
      </c>
    </row>
    <row r="1400" spans="1:2" x14ac:dyDescent="0.25">
      <c r="A1400" s="25">
        <f>A1359+10</f>
        <v>67</v>
      </c>
      <c r="B1400" s="18" t="str">
        <f>"// &lt;e&gt;Configure MPU_NS Region "&amp;A1399</f>
        <v>// &lt;e&gt;Configure MPU_NS Region 6</v>
      </c>
    </row>
    <row r="1401" spans="1:2" x14ac:dyDescent="0.25">
      <c r="B1401" s="18" t="s">
        <v>29</v>
      </c>
    </row>
    <row r="1402" spans="1:2" x14ac:dyDescent="0.25">
      <c r="A1402">
        <f>A1400</f>
        <v>67</v>
      </c>
      <c r="B1402" s="18" t="str">
        <f ca="1">"#define MPU_NS_CONFIG_REG"&amp;A1399&amp;"  "&amp;N(INDIRECT("CONFIG_NS!A"&amp;A1402))</f>
        <v>#define MPU_NS_CONFIG_REG6  0</v>
      </c>
    </row>
    <row r="1403" spans="1:2" x14ac:dyDescent="0.25">
      <c r="B1403" s="18" t="s">
        <v>7</v>
      </c>
    </row>
    <row r="1404" spans="1:2" x14ac:dyDescent="0.25">
      <c r="A1404">
        <f>A1400+1</f>
        <v>68</v>
      </c>
      <c r="B1404" s="18" t="str">
        <f ca="1">"#define MPU_NS_ENABLE_REG"&amp;A1399&amp;"  "&amp;N(INDIRECT("CONFIG_NS!A"&amp;A1404))</f>
        <v>#define MPU_NS_ENABLE_REG6  1</v>
      </c>
    </row>
    <row r="1405" spans="1:2" x14ac:dyDescent="0.25">
      <c r="B1405" s="18" t="s">
        <v>8</v>
      </c>
    </row>
    <row r="1406" spans="1:2" x14ac:dyDescent="0.25">
      <c r="B1406" s="18" t="s">
        <v>54</v>
      </c>
    </row>
    <row r="1407" spans="1:2" x14ac:dyDescent="0.25">
      <c r="A1407">
        <f>A1400+2</f>
        <v>69</v>
      </c>
      <c r="B1407" s="18" t="str" cm="1">
        <f t="array" aca="1" ref="B1407" ca="1">"#define MPU_NS_BASE_REG"&amp;A1399&amp;"    0x"&amp;INDIRECT("CONFIG_NS!A"&amp;A1407)</f>
        <v>#define MPU_NS_BASE_REG6    0x00000000</v>
      </c>
    </row>
    <row r="1408" spans="1:2" x14ac:dyDescent="0.25">
      <c r="B1408" s="18" t="s">
        <v>55</v>
      </c>
    </row>
    <row r="1409" spans="1:2" x14ac:dyDescent="0.25">
      <c r="B1409" s="18" t="s">
        <v>56</v>
      </c>
    </row>
    <row r="1410" spans="1:2" x14ac:dyDescent="0.25">
      <c r="A1410">
        <f>A1400+3</f>
        <v>70</v>
      </c>
      <c r="B1410" s="18" t="str">
        <f ca="1">"#define MPU_NS_END_REG"&amp;A1399&amp;"     0x"&amp;DEC2HEX(HEX2DEC(INDIRECT("CONFIG_NS!A"&amp;A1410))+1,8)</f>
        <v>#define MPU_NS_END_REG6     0x00000040</v>
      </c>
    </row>
    <row r="1411" spans="1:2" x14ac:dyDescent="0.25">
      <c r="B1411" s="18" t="str">
        <f>"#define MPU_NS_LIMIT_REG"&amp;A1399&amp;"   (MPU_NS_END_REG"&amp;A1399&amp;" - 1u)"</f>
        <v>#define MPU_NS_LIMIT_REG6   (MPU_NS_END_REG6 - 1u)</v>
      </c>
    </row>
    <row r="1412" spans="1:2" x14ac:dyDescent="0.25">
      <c r="B1412" s="18" t="s">
        <v>9</v>
      </c>
    </row>
    <row r="1413" spans="1:2" x14ac:dyDescent="0.25">
      <c r="B1413" s="18" t="s">
        <v>57</v>
      </c>
    </row>
    <row r="1414" spans="1:2" x14ac:dyDescent="0.25">
      <c r="B1414" s="18" t="s">
        <v>58</v>
      </c>
    </row>
    <row r="1415" spans="1:2" x14ac:dyDescent="0.25">
      <c r="B1415" s="18" t="s">
        <v>59</v>
      </c>
    </row>
    <row r="1416" spans="1:2" x14ac:dyDescent="0.25">
      <c r="B1416" s="18" t="s">
        <v>60</v>
      </c>
    </row>
    <row r="1417" spans="1:2" x14ac:dyDescent="0.25">
      <c r="A1417">
        <f>A1400+4</f>
        <v>71</v>
      </c>
      <c r="B1417" s="18" t="str" cm="1">
        <f t="array" aca="1" ref="B1417" ca="1">"#define MPU_NS_PERM_REG"&amp;A1399&amp;"    "&amp;INDIRECT("CONFIG_NS!A"&amp;A1417)-1</f>
        <v>#define MPU_NS_PERM_REG6    0</v>
      </c>
    </row>
    <row r="1418" spans="1:2" x14ac:dyDescent="0.25">
      <c r="B1418" s="18" t="s">
        <v>10</v>
      </c>
    </row>
    <row r="1419" spans="1:2" x14ac:dyDescent="0.25">
      <c r="A1419">
        <f>A1400+5</f>
        <v>72</v>
      </c>
      <c r="B1419" s="18" t="str">
        <f ca="1">"#define MPU_NS_XN_REG"&amp;A1399&amp;"      "&amp;N(INDIRECT("CONFIG_NS!A"&amp;A1419))</f>
        <v>#define MPU_NS_XN_REG6      0</v>
      </c>
    </row>
    <row r="1420" spans="1:2" x14ac:dyDescent="0.25">
      <c r="B1420" s="18" t="s">
        <v>61</v>
      </c>
    </row>
    <row r="1421" spans="1:2" x14ac:dyDescent="0.25">
      <c r="A1421">
        <f>A1402+6</f>
        <v>73</v>
      </c>
      <c r="B1421" s="18" t="str">
        <f ca="1">"#define MPU_NS_PXN_REG"&amp;A1399&amp;"     "&amp;N(INDIRECT("CONFIG_NS!A"&amp;A1421))</f>
        <v>#define MPU_NS_PXN_REG6     0</v>
      </c>
    </row>
    <row r="1422" spans="1:2" x14ac:dyDescent="0.25">
      <c r="B1422" s="18" t="s">
        <v>69</v>
      </c>
    </row>
    <row r="1423" spans="1:2" x14ac:dyDescent="0.25">
      <c r="B1423" s="18" t="s">
        <v>11</v>
      </c>
    </row>
    <row r="1424" spans="1:2" x14ac:dyDescent="0.25">
      <c r="B1424" s="18" t="s">
        <v>70</v>
      </c>
    </row>
    <row r="1425" spans="1:2" x14ac:dyDescent="0.25">
      <c r="B1425" s="18" t="s">
        <v>71</v>
      </c>
    </row>
    <row r="1426" spans="1:2" x14ac:dyDescent="0.25">
      <c r="B1426" s="18" t="s">
        <v>72</v>
      </c>
    </row>
    <row r="1427" spans="1:2" x14ac:dyDescent="0.25">
      <c r="A1427">
        <f>A1400+7</f>
        <v>74</v>
      </c>
      <c r="B1427" s="18" t="str" cm="1">
        <f t="array" aca="1" ref="B1427" ca="1">"#define MPU_NS_SHARE_REG"&amp;A1399&amp;"   "&amp;(INDIRECT("CONFIG_NS!A"&amp;A1427)-1)</f>
        <v>#define MPU_NS_SHARE_REG6   0</v>
      </c>
    </row>
    <row r="1428" spans="1:2" x14ac:dyDescent="0.25">
      <c r="B1428" s="18" t="s">
        <v>62</v>
      </c>
    </row>
    <row r="1429" spans="1:2" x14ac:dyDescent="0.25">
      <c r="B1429" s="18" t="s">
        <v>75</v>
      </c>
    </row>
    <row r="1430" spans="1:2" x14ac:dyDescent="0.25">
      <c r="B1430" s="18" t="s">
        <v>76</v>
      </c>
    </row>
    <row r="1431" spans="1:2" x14ac:dyDescent="0.25">
      <c r="B1431" s="18" t="s">
        <v>77</v>
      </c>
    </row>
    <row r="1432" spans="1:2" x14ac:dyDescent="0.25">
      <c r="B1432" s="18" t="s">
        <v>78</v>
      </c>
    </row>
    <row r="1433" spans="1:2" x14ac:dyDescent="0.25">
      <c r="B1433" s="18" t="s">
        <v>79</v>
      </c>
    </row>
    <row r="1434" spans="1:2" x14ac:dyDescent="0.25">
      <c r="B1434" s="18" t="s">
        <v>80</v>
      </c>
    </row>
    <row r="1435" spans="1:2" x14ac:dyDescent="0.25">
      <c r="B1435" s="18" t="s">
        <v>81</v>
      </c>
    </row>
    <row r="1436" spans="1:2" x14ac:dyDescent="0.25">
      <c r="B1436" s="18" t="s">
        <v>82</v>
      </c>
    </row>
    <row r="1437" spans="1:2" x14ac:dyDescent="0.25">
      <c r="A1437">
        <f>A1400+8</f>
        <v>75</v>
      </c>
      <c r="B1437" s="18" t="str" cm="1">
        <f t="array" aca="1" ref="B1437" ca="1">"#define MPU_NS_ATTRIND"&amp;A1399&amp;"     "&amp;INDIRECT("CONFIG_NS!A"&amp;A1437)-1</f>
        <v>#define MPU_NS_ATTRIND6     0</v>
      </c>
    </row>
    <row r="1438" spans="1:2" x14ac:dyDescent="0.25">
      <c r="B1438" s="18" t="str">
        <f>"//   &lt;/e&gt;   //MPU_NS Region "&amp;A1399&amp;" ********************************"</f>
        <v>//   &lt;/e&gt;   //MPU_NS Region 6 ********************************</v>
      </c>
    </row>
    <row r="1439" spans="1:2" x14ac:dyDescent="0.25">
      <c r="B1439" s="18" t="s">
        <v>138</v>
      </c>
    </row>
    <row r="1440" spans="1:2" x14ac:dyDescent="0.25">
      <c r="A1440" s="25">
        <f>A1399+1</f>
        <v>7</v>
      </c>
      <c r="B1440" s="18" t="str">
        <f>"// MPU_NS Region "&amp;A1440&amp;" ********************************"</f>
        <v>// MPU_NS Region 7 ********************************</v>
      </c>
    </row>
    <row r="1441" spans="1:2" x14ac:dyDescent="0.25">
      <c r="A1441" s="25">
        <f>A1400+10</f>
        <v>77</v>
      </c>
      <c r="B1441" s="18" t="str">
        <f>"// &lt;e&gt;Configure MPU_NS Region "&amp;A1440</f>
        <v>// &lt;e&gt;Configure MPU_NS Region 7</v>
      </c>
    </row>
    <row r="1442" spans="1:2" x14ac:dyDescent="0.25">
      <c r="B1442" s="18" t="s">
        <v>29</v>
      </c>
    </row>
    <row r="1443" spans="1:2" x14ac:dyDescent="0.25">
      <c r="A1443">
        <f>A1441</f>
        <v>77</v>
      </c>
      <c r="B1443" s="18" t="str">
        <f ca="1">"#define MPU_NS_CONFIG_REG"&amp;A1440&amp;"  "&amp;N(INDIRECT("CONFIG_NS!A"&amp;A1443))</f>
        <v>#define MPU_NS_CONFIG_REG7  0</v>
      </c>
    </row>
    <row r="1444" spans="1:2" x14ac:dyDescent="0.25">
      <c r="B1444" s="18" t="s">
        <v>7</v>
      </c>
    </row>
    <row r="1445" spans="1:2" x14ac:dyDescent="0.25">
      <c r="A1445">
        <f>A1441+1</f>
        <v>78</v>
      </c>
      <c r="B1445" s="18" t="str">
        <f ca="1">"#define MPU_NS_ENABLE_REG"&amp;A1440&amp;"  "&amp;N(INDIRECT("CONFIG_NS!A"&amp;A1445))</f>
        <v>#define MPU_NS_ENABLE_REG7  1</v>
      </c>
    </row>
    <row r="1446" spans="1:2" x14ac:dyDescent="0.25">
      <c r="B1446" s="18" t="s">
        <v>8</v>
      </c>
    </row>
    <row r="1447" spans="1:2" x14ac:dyDescent="0.25">
      <c r="B1447" s="18" t="s">
        <v>54</v>
      </c>
    </row>
    <row r="1448" spans="1:2" x14ac:dyDescent="0.25">
      <c r="A1448">
        <f>A1441+2</f>
        <v>79</v>
      </c>
      <c r="B1448" s="18" t="str" cm="1">
        <f t="array" aca="1" ref="B1448" ca="1">"#define MPU_NS_BASE_REG"&amp;A1440&amp;"    0x"&amp;INDIRECT("CONFIG_NS!A"&amp;A1448)</f>
        <v>#define MPU_NS_BASE_REG7    0x00000000</v>
      </c>
    </row>
    <row r="1449" spans="1:2" x14ac:dyDescent="0.25">
      <c r="B1449" s="18" t="s">
        <v>55</v>
      </c>
    </row>
    <row r="1450" spans="1:2" x14ac:dyDescent="0.25">
      <c r="B1450" s="18" t="s">
        <v>56</v>
      </c>
    </row>
    <row r="1451" spans="1:2" x14ac:dyDescent="0.25">
      <c r="A1451">
        <f>A1441+3</f>
        <v>80</v>
      </c>
      <c r="B1451" s="18" t="str">
        <f ca="1">"#define MPU_NS_END_REG"&amp;A1440&amp;"     0x"&amp;DEC2HEX(HEX2DEC(INDIRECT("CONFIG_NS!A"&amp;A1451))+1,8)</f>
        <v>#define MPU_NS_END_REG7     0x00000020</v>
      </c>
    </row>
    <row r="1452" spans="1:2" x14ac:dyDescent="0.25">
      <c r="B1452" s="18" t="str">
        <f>"#define MPU_NS_LIMIT_REG"&amp;A1440&amp;"   (MPU_NS_END_REG"&amp;A1440&amp;" - 1u)"</f>
        <v>#define MPU_NS_LIMIT_REG7   (MPU_NS_END_REG7 - 1u)</v>
      </c>
    </row>
    <row r="1453" spans="1:2" x14ac:dyDescent="0.25">
      <c r="B1453" s="18" t="s">
        <v>9</v>
      </c>
    </row>
    <row r="1454" spans="1:2" x14ac:dyDescent="0.25">
      <c r="B1454" s="18" t="s">
        <v>57</v>
      </c>
    </row>
    <row r="1455" spans="1:2" x14ac:dyDescent="0.25">
      <c r="B1455" s="18" t="s">
        <v>58</v>
      </c>
    </row>
    <row r="1456" spans="1:2" x14ac:dyDescent="0.25">
      <c r="B1456" s="18" t="s">
        <v>59</v>
      </c>
    </row>
    <row r="1457" spans="1:2" x14ac:dyDescent="0.25">
      <c r="B1457" s="18" t="s">
        <v>60</v>
      </c>
    </row>
    <row r="1458" spans="1:2" x14ac:dyDescent="0.25">
      <c r="A1458">
        <f>A1441+4</f>
        <v>81</v>
      </c>
      <c r="B1458" s="18" t="str" cm="1">
        <f t="array" aca="1" ref="B1458" ca="1">"#define MPU_NS_PERM_REG"&amp;A1440&amp;"    "&amp;INDIRECT("CONFIG_NS!A"&amp;A1458)-1</f>
        <v>#define MPU_NS_PERM_REG7    0</v>
      </c>
    </row>
    <row r="1459" spans="1:2" x14ac:dyDescent="0.25">
      <c r="B1459" s="18" t="s">
        <v>10</v>
      </c>
    </row>
    <row r="1460" spans="1:2" x14ac:dyDescent="0.25">
      <c r="A1460">
        <f>A1441+5</f>
        <v>82</v>
      </c>
      <c r="B1460" s="18" t="str">
        <f ca="1">"#define MPU_NS_XN_REG"&amp;A1440&amp;"      "&amp;N(INDIRECT("CONFIG_NS!A"&amp;A1460))</f>
        <v>#define MPU_NS_XN_REG7      0</v>
      </c>
    </row>
    <row r="1461" spans="1:2" x14ac:dyDescent="0.25">
      <c r="B1461" s="18" t="s">
        <v>61</v>
      </c>
    </row>
    <row r="1462" spans="1:2" x14ac:dyDescent="0.25">
      <c r="A1462">
        <f>A1443+6</f>
        <v>83</v>
      </c>
      <c r="B1462" s="18" t="str">
        <f ca="1">"#define MPU_NS_PXN_REG"&amp;A1440&amp;"     "&amp;N(INDIRECT("CONFIG_NS!A"&amp;A1462))</f>
        <v>#define MPU_NS_PXN_REG7     0</v>
      </c>
    </row>
    <row r="1463" spans="1:2" x14ac:dyDescent="0.25">
      <c r="B1463" s="18" t="s">
        <v>69</v>
      </c>
    </row>
    <row r="1464" spans="1:2" x14ac:dyDescent="0.25">
      <c r="B1464" s="18" t="s">
        <v>11</v>
      </c>
    </row>
    <row r="1465" spans="1:2" x14ac:dyDescent="0.25">
      <c r="B1465" s="18" t="s">
        <v>70</v>
      </c>
    </row>
    <row r="1466" spans="1:2" x14ac:dyDescent="0.25">
      <c r="B1466" s="18" t="s">
        <v>71</v>
      </c>
    </row>
    <row r="1467" spans="1:2" x14ac:dyDescent="0.25">
      <c r="B1467" s="18" t="s">
        <v>72</v>
      </c>
    </row>
    <row r="1468" spans="1:2" x14ac:dyDescent="0.25">
      <c r="A1468">
        <f>A1441+7</f>
        <v>84</v>
      </c>
      <c r="B1468" s="18" t="str" cm="1">
        <f t="array" aca="1" ref="B1468" ca="1">"#define MPU_NS_SHARE_REG"&amp;A1440&amp;"   "&amp;(INDIRECT("CONFIG_NS!A"&amp;A1468)-1)</f>
        <v>#define MPU_NS_SHARE_REG7   0</v>
      </c>
    </row>
    <row r="1469" spans="1:2" x14ac:dyDescent="0.25">
      <c r="B1469" s="18" t="s">
        <v>62</v>
      </c>
    </row>
    <row r="1470" spans="1:2" x14ac:dyDescent="0.25">
      <c r="B1470" s="18" t="s">
        <v>75</v>
      </c>
    </row>
    <row r="1471" spans="1:2" x14ac:dyDescent="0.25">
      <c r="B1471" s="18" t="s">
        <v>76</v>
      </c>
    </row>
    <row r="1472" spans="1:2" x14ac:dyDescent="0.25">
      <c r="B1472" s="18" t="s">
        <v>77</v>
      </c>
    </row>
    <row r="1473" spans="1:2" x14ac:dyDescent="0.25">
      <c r="B1473" s="18" t="s">
        <v>78</v>
      </c>
    </row>
    <row r="1474" spans="1:2" x14ac:dyDescent="0.25">
      <c r="B1474" s="18" t="s">
        <v>79</v>
      </c>
    </row>
    <row r="1475" spans="1:2" x14ac:dyDescent="0.25">
      <c r="B1475" s="18" t="s">
        <v>80</v>
      </c>
    </row>
    <row r="1476" spans="1:2" x14ac:dyDescent="0.25">
      <c r="B1476" s="18" t="s">
        <v>81</v>
      </c>
    </row>
    <row r="1477" spans="1:2" x14ac:dyDescent="0.25">
      <c r="B1477" s="18" t="s">
        <v>82</v>
      </c>
    </row>
    <row r="1478" spans="1:2" x14ac:dyDescent="0.25">
      <c r="A1478">
        <f>A1441+8</f>
        <v>85</v>
      </c>
      <c r="B1478" s="18" t="str" cm="1">
        <f t="array" aca="1" ref="B1478" ca="1">"#define MPU_NS_ATTRIND"&amp;A1440&amp;"     "&amp;INDIRECT("CONFIG_NS!A"&amp;A1478)-1</f>
        <v>#define MPU_NS_ATTRIND7     0</v>
      </c>
    </row>
    <row r="1479" spans="1:2" x14ac:dyDescent="0.25">
      <c r="B1479" s="18" t="str">
        <f>"//   &lt;/e&gt;   //MPU_NS Region "&amp;A1440&amp;" ********************************"</f>
        <v>//   &lt;/e&gt;   //MPU_NS Region 7 ********************************</v>
      </c>
    </row>
    <row r="1480" spans="1:2" x14ac:dyDescent="0.25">
      <c r="B1480" s="18" t="s">
        <v>138</v>
      </c>
    </row>
    <row r="1481" spans="1:2" x14ac:dyDescent="0.25">
      <c r="A1481" s="25">
        <f>A1440+1</f>
        <v>8</v>
      </c>
      <c r="B1481" s="18" t="str">
        <f>"// MPU_NS Region "&amp;A1481&amp;" ********************************"</f>
        <v>// MPU_NS Region 8 ********************************</v>
      </c>
    </row>
    <row r="1482" spans="1:2" x14ac:dyDescent="0.25">
      <c r="A1482" s="25">
        <f>A1441+10</f>
        <v>87</v>
      </c>
      <c r="B1482" s="18" t="str">
        <f>"// &lt;e&gt;Configure MPU_NS Region "&amp;A1481</f>
        <v>// &lt;e&gt;Configure MPU_NS Region 8</v>
      </c>
    </row>
    <row r="1483" spans="1:2" x14ac:dyDescent="0.25">
      <c r="B1483" s="18" t="s">
        <v>29</v>
      </c>
    </row>
    <row r="1484" spans="1:2" x14ac:dyDescent="0.25">
      <c r="A1484">
        <f>A1482</f>
        <v>87</v>
      </c>
      <c r="B1484" s="18" t="str">
        <f ca="1">"#define MPU_NS_CONFIG_REG"&amp;A1481&amp;"  "&amp;N(INDIRECT("CONFIG_NS!A"&amp;A1484))</f>
        <v>#define MPU_NS_CONFIG_REG8  0</v>
      </c>
    </row>
    <row r="1485" spans="1:2" x14ac:dyDescent="0.25">
      <c r="B1485" s="18" t="s">
        <v>7</v>
      </c>
    </row>
    <row r="1486" spans="1:2" x14ac:dyDescent="0.25">
      <c r="A1486">
        <f>A1482+1</f>
        <v>88</v>
      </c>
      <c r="B1486" s="18" t="str">
        <f ca="1">"#define MPU_NS_ENABLE_REG"&amp;A1481&amp;"  "&amp;N(INDIRECT("CONFIG_NS!A"&amp;A1486))</f>
        <v>#define MPU_NS_ENABLE_REG8  1</v>
      </c>
    </row>
    <row r="1487" spans="1:2" x14ac:dyDescent="0.25">
      <c r="B1487" s="18" t="s">
        <v>8</v>
      </c>
    </row>
    <row r="1488" spans="1:2" x14ac:dyDescent="0.25">
      <c r="B1488" s="18" t="s">
        <v>54</v>
      </c>
    </row>
    <row r="1489" spans="1:2" x14ac:dyDescent="0.25">
      <c r="A1489">
        <f>A1482+2</f>
        <v>89</v>
      </c>
      <c r="B1489" s="18" t="str" cm="1">
        <f t="array" aca="1" ref="B1489" ca="1">"#define MPU_NS_BASE_REG"&amp;A1481&amp;"    0x"&amp;INDIRECT("CONFIG_NS!A"&amp;A1489)</f>
        <v>#define MPU_NS_BASE_REG8    0x00000000</v>
      </c>
    </row>
    <row r="1490" spans="1:2" x14ac:dyDescent="0.25">
      <c r="B1490" s="18" t="s">
        <v>55</v>
      </c>
    </row>
    <row r="1491" spans="1:2" x14ac:dyDescent="0.25">
      <c r="B1491" s="18" t="s">
        <v>56</v>
      </c>
    </row>
    <row r="1492" spans="1:2" x14ac:dyDescent="0.25">
      <c r="A1492">
        <f>A1482+3</f>
        <v>90</v>
      </c>
      <c r="B1492" s="18" t="str">
        <f ca="1">"#define MPU_NS_END_REG"&amp;A1481&amp;"     0x"&amp;DEC2HEX(HEX2DEC(INDIRECT("CONFIG_NS!A"&amp;A1492))+1,8)</f>
        <v>#define MPU_NS_END_REG8     0x00000020</v>
      </c>
    </row>
    <row r="1493" spans="1:2" x14ac:dyDescent="0.25">
      <c r="B1493" s="18" t="str">
        <f>"#define MPU_NS_LIMIT_REG"&amp;A1481&amp;"   (MPU_NS_END_REG"&amp;A1481&amp;" - 1u)"</f>
        <v>#define MPU_NS_LIMIT_REG8   (MPU_NS_END_REG8 - 1u)</v>
      </c>
    </row>
    <row r="1494" spans="1:2" x14ac:dyDescent="0.25">
      <c r="B1494" s="18" t="s">
        <v>9</v>
      </c>
    </row>
    <row r="1495" spans="1:2" x14ac:dyDescent="0.25">
      <c r="B1495" s="18" t="s">
        <v>57</v>
      </c>
    </row>
    <row r="1496" spans="1:2" x14ac:dyDescent="0.25">
      <c r="B1496" s="18" t="s">
        <v>58</v>
      </c>
    </row>
    <row r="1497" spans="1:2" x14ac:dyDescent="0.25">
      <c r="B1497" s="18" t="s">
        <v>59</v>
      </c>
    </row>
    <row r="1498" spans="1:2" x14ac:dyDescent="0.25">
      <c r="B1498" s="18" t="s">
        <v>60</v>
      </c>
    </row>
    <row r="1499" spans="1:2" x14ac:dyDescent="0.25">
      <c r="A1499">
        <f>A1482+4</f>
        <v>91</v>
      </c>
      <c r="B1499" s="18" t="str" cm="1">
        <f t="array" aca="1" ref="B1499" ca="1">"#define MPU_NS_PERM_REG"&amp;A1481&amp;"    "&amp;INDIRECT("CONFIG_NS!A"&amp;A1499)-1</f>
        <v>#define MPU_NS_PERM_REG8    1</v>
      </c>
    </row>
    <row r="1500" spans="1:2" x14ac:dyDescent="0.25">
      <c r="B1500" s="18" t="s">
        <v>10</v>
      </c>
    </row>
    <row r="1501" spans="1:2" x14ac:dyDescent="0.25">
      <c r="A1501">
        <f>A1482+5</f>
        <v>92</v>
      </c>
      <c r="B1501" s="18" t="str">
        <f ca="1">"#define MPU_NS_XN_REG"&amp;A1481&amp;"      "&amp;N(INDIRECT("CONFIG_NS!A"&amp;A1501))</f>
        <v>#define MPU_NS_XN_REG8      0</v>
      </c>
    </row>
    <row r="1502" spans="1:2" x14ac:dyDescent="0.25">
      <c r="B1502" s="18" t="s">
        <v>61</v>
      </c>
    </row>
    <row r="1503" spans="1:2" x14ac:dyDescent="0.25">
      <c r="A1503">
        <f>A1484+6</f>
        <v>93</v>
      </c>
      <c r="B1503" s="18" t="str">
        <f ca="1">"#define MPU_NS_PXN_REG"&amp;A1481&amp;"     "&amp;N(INDIRECT("CONFIG_NS!A"&amp;A1503))</f>
        <v>#define MPU_NS_PXN_REG8     0</v>
      </c>
    </row>
    <row r="1504" spans="1:2" x14ac:dyDescent="0.25">
      <c r="B1504" s="18" t="s">
        <v>69</v>
      </c>
    </row>
    <row r="1505" spans="1:2" x14ac:dyDescent="0.25">
      <c r="B1505" s="18" t="s">
        <v>11</v>
      </c>
    </row>
    <row r="1506" spans="1:2" x14ac:dyDescent="0.25">
      <c r="B1506" s="18" t="s">
        <v>70</v>
      </c>
    </row>
    <row r="1507" spans="1:2" x14ac:dyDescent="0.25">
      <c r="B1507" s="18" t="s">
        <v>71</v>
      </c>
    </row>
    <row r="1508" spans="1:2" x14ac:dyDescent="0.25">
      <c r="B1508" s="18" t="s">
        <v>72</v>
      </c>
    </row>
    <row r="1509" spans="1:2" x14ac:dyDescent="0.25">
      <c r="A1509">
        <f>A1482+7</f>
        <v>94</v>
      </c>
      <c r="B1509" s="18" t="str" cm="1">
        <f t="array" aca="1" ref="B1509" ca="1">"#define MPU_NS_SHARE_REG"&amp;A1481&amp;"   "&amp;(INDIRECT("CONFIG_NS!A"&amp;A1509)-1)</f>
        <v>#define MPU_NS_SHARE_REG8   0</v>
      </c>
    </row>
    <row r="1510" spans="1:2" x14ac:dyDescent="0.25">
      <c r="B1510" s="18" t="s">
        <v>62</v>
      </c>
    </row>
    <row r="1511" spans="1:2" x14ac:dyDescent="0.25">
      <c r="B1511" s="18" t="s">
        <v>75</v>
      </c>
    </row>
    <row r="1512" spans="1:2" x14ac:dyDescent="0.25">
      <c r="B1512" s="18" t="s">
        <v>76</v>
      </c>
    </row>
    <row r="1513" spans="1:2" x14ac:dyDescent="0.25">
      <c r="B1513" s="18" t="s">
        <v>77</v>
      </c>
    </row>
    <row r="1514" spans="1:2" x14ac:dyDescent="0.25">
      <c r="B1514" s="18" t="s">
        <v>78</v>
      </c>
    </row>
    <row r="1515" spans="1:2" x14ac:dyDescent="0.25">
      <c r="B1515" s="18" t="s">
        <v>79</v>
      </c>
    </row>
    <row r="1516" spans="1:2" x14ac:dyDescent="0.25">
      <c r="B1516" s="18" t="s">
        <v>80</v>
      </c>
    </row>
    <row r="1517" spans="1:2" x14ac:dyDescent="0.25">
      <c r="B1517" s="18" t="s">
        <v>81</v>
      </c>
    </row>
    <row r="1518" spans="1:2" x14ac:dyDescent="0.25">
      <c r="B1518" s="18" t="s">
        <v>82</v>
      </c>
    </row>
    <row r="1519" spans="1:2" x14ac:dyDescent="0.25">
      <c r="A1519">
        <f>A1482+8</f>
        <v>95</v>
      </c>
      <c r="B1519" s="18" t="str" cm="1">
        <f t="array" aca="1" ref="B1519" ca="1">"#define MPU_NS_ATTRIND"&amp;A1481&amp;"     "&amp;INDIRECT("CONFIG_NS!A"&amp;A1519)-1</f>
        <v>#define MPU_NS_ATTRIND8     0</v>
      </c>
    </row>
    <row r="1520" spans="1:2" x14ac:dyDescent="0.25">
      <c r="B1520" s="18" t="str">
        <f>"//   &lt;/e&gt;   //MPU_NS Region "&amp;A1481&amp;" ********************************"</f>
        <v>//   &lt;/e&gt;   //MPU_NS Region 8 ********************************</v>
      </c>
    </row>
    <row r="1521" spans="1:2" x14ac:dyDescent="0.25">
      <c r="B1521" s="18" t="s">
        <v>138</v>
      </c>
    </row>
    <row r="1522" spans="1:2" x14ac:dyDescent="0.25">
      <c r="A1522" s="25">
        <f>A1481+1</f>
        <v>9</v>
      </c>
      <c r="B1522" s="18" t="str">
        <f>"// MPU_NS Region "&amp;A1522&amp;" ********************************"</f>
        <v>// MPU_NS Region 9 ********************************</v>
      </c>
    </row>
    <row r="1523" spans="1:2" x14ac:dyDescent="0.25">
      <c r="A1523" s="25">
        <f>A1482+10</f>
        <v>97</v>
      </c>
      <c r="B1523" s="18" t="str">
        <f>"// &lt;e&gt;Configure MPU_NS Region "&amp;A1522</f>
        <v>// &lt;e&gt;Configure MPU_NS Region 9</v>
      </c>
    </row>
    <row r="1524" spans="1:2" x14ac:dyDescent="0.25">
      <c r="B1524" s="18" t="s">
        <v>29</v>
      </c>
    </row>
    <row r="1525" spans="1:2" x14ac:dyDescent="0.25">
      <c r="A1525">
        <f>A1523</f>
        <v>97</v>
      </c>
      <c r="B1525" s="18" t="str">
        <f ca="1">"#define MPU_NS_CONFIG_REG"&amp;A1522&amp;"  "&amp;N(INDIRECT("CONFIG_NS!A"&amp;A1525))</f>
        <v>#define MPU_NS_CONFIG_REG9  0</v>
      </c>
    </row>
    <row r="1526" spans="1:2" x14ac:dyDescent="0.25">
      <c r="B1526" s="18" t="s">
        <v>7</v>
      </c>
    </row>
    <row r="1527" spans="1:2" x14ac:dyDescent="0.25">
      <c r="A1527">
        <f>A1523+1</f>
        <v>98</v>
      </c>
      <c r="B1527" s="18" t="str">
        <f ca="1">"#define MPU_NS_ENABLE_REG"&amp;A1522&amp;"  "&amp;N(INDIRECT("CONFIG_NS!A"&amp;A1527))</f>
        <v>#define MPU_NS_ENABLE_REG9  0</v>
      </c>
    </row>
    <row r="1528" spans="1:2" x14ac:dyDescent="0.25">
      <c r="B1528" s="18" t="s">
        <v>8</v>
      </c>
    </row>
    <row r="1529" spans="1:2" x14ac:dyDescent="0.25">
      <c r="B1529" s="18" t="s">
        <v>54</v>
      </c>
    </row>
    <row r="1530" spans="1:2" x14ac:dyDescent="0.25">
      <c r="A1530">
        <f>A1523+2</f>
        <v>99</v>
      </c>
      <c r="B1530" s="18" t="str" cm="1">
        <f t="array" aca="1" ref="B1530" ca="1">"#define MPU_NS_BASE_REG"&amp;A1522&amp;"    0x"&amp;INDIRECT("CONFIG_NS!A"&amp;A1530)</f>
        <v>#define MPU_NS_BASE_REG9    0x00000000</v>
      </c>
    </row>
    <row r="1531" spans="1:2" x14ac:dyDescent="0.25">
      <c r="B1531" s="18" t="s">
        <v>55</v>
      </c>
    </row>
    <row r="1532" spans="1:2" x14ac:dyDescent="0.25">
      <c r="B1532" s="18" t="s">
        <v>56</v>
      </c>
    </row>
    <row r="1533" spans="1:2" x14ac:dyDescent="0.25">
      <c r="A1533">
        <f>A1523+3</f>
        <v>100</v>
      </c>
      <c r="B1533" s="18" t="str">
        <f ca="1">"#define MPU_NS_END_REG"&amp;A1522&amp;"     0x"&amp;DEC2HEX(HEX2DEC(INDIRECT("CONFIG_NS!A"&amp;A1533))+1,8)</f>
        <v>#define MPU_NS_END_REG9     0x00000020</v>
      </c>
    </row>
    <row r="1534" spans="1:2" x14ac:dyDescent="0.25">
      <c r="B1534" s="18" t="str">
        <f>"#define MPU_NS_LIMIT_REG"&amp;A1522&amp;"   (MPU_NS_END_REG"&amp;A1522&amp;" - 1u)"</f>
        <v>#define MPU_NS_LIMIT_REG9   (MPU_NS_END_REG9 - 1u)</v>
      </c>
    </row>
    <row r="1535" spans="1:2" x14ac:dyDescent="0.25">
      <c r="B1535" s="18" t="s">
        <v>9</v>
      </c>
    </row>
    <row r="1536" spans="1:2" x14ac:dyDescent="0.25">
      <c r="B1536" s="18" t="s">
        <v>57</v>
      </c>
    </row>
    <row r="1537" spans="1:2" x14ac:dyDescent="0.25">
      <c r="B1537" s="18" t="s">
        <v>58</v>
      </c>
    </row>
    <row r="1538" spans="1:2" x14ac:dyDescent="0.25">
      <c r="B1538" s="18" t="s">
        <v>59</v>
      </c>
    </row>
    <row r="1539" spans="1:2" x14ac:dyDescent="0.25">
      <c r="B1539" s="18" t="s">
        <v>60</v>
      </c>
    </row>
    <row r="1540" spans="1:2" x14ac:dyDescent="0.25">
      <c r="A1540">
        <f>A1523+4</f>
        <v>101</v>
      </c>
      <c r="B1540" s="18" t="str" cm="1">
        <f t="array" aca="1" ref="B1540" ca="1">"#define MPU_NS_PERM_REG"&amp;A1522&amp;"    "&amp;INDIRECT("CONFIG_NS!A"&amp;A1540)-1</f>
        <v>#define MPU_NS_PERM_REG9    0</v>
      </c>
    </row>
    <row r="1541" spans="1:2" x14ac:dyDescent="0.25">
      <c r="B1541" s="18" t="s">
        <v>10</v>
      </c>
    </row>
    <row r="1542" spans="1:2" x14ac:dyDescent="0.25">
      <c r="A1542">
        <f>A1523+5</f>
        <v>102</v>
      </c>
      <c r="B1542" s="18" t="str">
        <f ca="1">"#define MPU_NS_XN_REG"&amp;A1522&amp;"      "&amp;N(INDIRECT("CONFIG_NS!A"&amp;A1542))</f>
        <v>#define MPU_NS_XN_REG9      0</v>
      </c>
    </row>
    <row r="1543" spans="1:2" x14ac:dyDescent="0.25">
      <c r="B1543" s="18" t="s">
        <v>61</v>
      </c>
    </row>
    <row r="1544" spans="1:2" x14ac:dyDescent="0.25">
      <c r="A1544">
        <f>A1525+6</f>
        <v>103</v>
      </c>
      <c r="B1544" s="18" t="str">
        <f ca="1">"#define MPU_NS_PXN_REG"&amp;A1522&amp;"     "&amp;N(INDIRECT("CONFIG_NS!A"&amp;A1544))</f>
        <v>#define MPU_NS_PXN_REG9     0</v>
      </c>
    </row>
    <row r="1545" spans="1:2" x14ac:dyDescent="0.25">
      <c r="B1545" s="18" t="s">
        <v>69</v>
      </c>
    </row>
    <row r="1546" spans="1:2" x14ac:dyDescent="0.25">
      <c r="B1546" s="18" t="s">
        <v>11</v>
      </c>
    </row>
    <row r="1547" spans="1:2" x14ac:dyDescent="0.25">
      <c r="B1547" s="18" t="s">
        <v>70</v>
      </c>
    </row>
    <row r="1548" spans="1:2" x14ac:dyDescent="0.25">
      <c r="B1548" s="18" t="s">
        <v>71</v>
      </c>
    </row>
    <row r="1549" spans="1:2" x14ac:dyDescent="0.25">
      <c r="B1549" s="18" t="s">
        <v>72</v>
      </c>
    </row>
    <row r="1550" spans="1:2" x14ac:dyDescent="0.25">
      <c r="A1550">
        <f>A1523+7</f>
        <v>104</v>
      </c>
      <c r="B1550" s="18" t="str" cm="1">
        <f t="array" aca="1" ref="B1550" ca="1">"#define MPU_NS_SHARE_REG"&amp;A1522&amp;"   "&amp;(INDIRECT("CONFIG_NS!A"&amp;A1550)-1)</f>
        <v>#define MPU_NS_SHARE_REG9   0</v>
      </c>
    </row>
    <row r="1551" spans="1:2" x14ac:dyDescent="0.25">
      <c r="B1551" s="18" t="s">
        <v>62</v>
      </c>
    </row>
    <row r="1552" spans="1:2" x14ac:dyDescent="0.25">
      <c r="B1552" s="18" t="s">
        <v>75</v>
      </c>
    </row>
    <row r="1553" spans="1:2" x14ac:dyDescent="0.25">
      <c r="B1553" s="18" t="s">
        <v>76</v>
      </c>
    </row>
    <row r="1554" spans="1:2" x14ac:dyDescent="0.25">
      <c r="B1554" s="18" t="s">
        <v>77</v>
      </c>
    </row>
    <row r="1555" spans="1:2" x14ac:dyDescent="0.25">
      <c r="B1555" s="18" t="s">
        <v>78</v>
      </c>
    </row>
    <row r="1556" spans="1:2" x14ac:dyDescent="0.25">
      <c r="B1556" s="18" t="s">
        <v>79</v>
      </c>
    </row>
    <row r="1557" spans="1:2" x14ac:dyDescent="0.25">
      <c r="B1557" s="18" t="s">
        <v>80</v>
      </c>
    </row>
    <row r="1558" spans="1:2" x14ac:dyDescent="0.25">
      <c r="B1558" s="18" t="s">
        <v>81</v>
      </c>
    </row>
    <row r="1559" spans="1:2" x14ac:dyDescent="0.25">
      <c r="B1559" s="18" t="s">
        <v>82</v>
      </c>
    </row>
    <row r="1560" spans="1:2" x14ac:dyDescent="0.25">
      <c r="A1560">
        <f>A1523+8</f>
        <v>105</v>
      </c>
      <c r="B1560" s="18" t="str" cm="1">
        <f t="array" aca="1" ref="B1560" ca="1">"#define MPU_NS_ATTRIND"&amp;A1522&amp;"     "&amp;INDIRECT("CONFIG_NS!A"&amp;A1560)-1</f>
        <v>#define MPU_NS_ATTRIND9     0</v>
      </c>
    </row>
    <row r="1561" spans="1:2" x14ac:dyDescent="0.25">
      <c r="B1561" s="18" t="str">
        <f>"//   &lt;/e&gt;   //MPU_NS Region "&amp;A1522&amp;" ********************************"</f>
        <v>//   &lt;/e&gt;   //MPU_NS Region 9 ********************************</v>
      </c>
    </row>
    <row r="1562" spans="1:2" x14ac:dyDescent="0.25">
      <c r="B1562" s="18" t="s">
        <v>138</v>
      </c>
    </row>
    <row r="1563" spans="1:2" x14ac:dyDescent="0.25">
      <c r="A1563" s="25">
        <f>A1522+1</f>
        <v>10</v>
      </c>
      <c r="B1563" s="18" t="str">
        <f>"// MPU_NS Region "&amp;A1563&amp;" ********************************"</f>
        <v>// MPU_NS Region 10 ********************************</v>
      </c>
    </row>
    <row r="1564" spans="1:2" x14ac:dyDescent="0.25">
      <c r="A1564" s="25">
        <f>A1523+10</f>
        <v>107</v>
      </c>
      <c r="B1564" s="18" t="str">
        <f>"// &lt;e&gt;Configure MPU_NS Region "&amp;A1563</f>
        <v>// &lt;e&gt;Configure MPU_NS Region 10</v>
      </c>
    </row>
    <row r="1565" spans="1:2" x14ac:dyDescent="0.25">
      <c r="B1565" s="18" t="s">
        <v>29</v>
      </c>
    </row>
    <row r="1566" spans="1:2" x14ac:dyDescent="0.25">
      <c r="A1566">
        <f>A1564</f>
        <v>107</v>
      </c>
      <c r="B1566" s="18" t="str">
        <f ca="1">"#define MPU_NS_CONFIG_REG"&amp;A1563&amp;" "&amp;N(INDIRECT("CONFIG_NS!A"&amp;A1566))</f>
        <v>#define MPU_NS_CONFIG_REG10 0</v>
      </c>
    </row>
    <row r="1567" spans="1:2" x14ac:dyDescent="0.25">
      <c r="B1567" s="18" t="s">
        <v>7</v>
      </c>
    </row>
    <row r="1568" spans="1:2" x14ac:dyDescent="0.25">
      <c r="A1568">
        <f>A1564+1</f>
        <v>108</v>
      </c>
      <c r="B1568" s="18" t="str">
        <f ca="1">"#define MPU_NS_ENABLE_REG"&amp;A1563&amp;" "&amp;N(INDIRECT("CONFIG_NS!A"&amp;A1568))</f>
        <v>#define MPU_NS_ENABLE_REG10 1</v>
      </c>
    </row>
    <row r="1569" spans="1:2" x14ac:dyDescent="0.25">
      <c r="B1569" s="18" t="s">
        <v>8</v>
      </c>
    </row>
    <row r="1570" spans="1:2" x14ac:dyDescent="0.25">
      <c r="B1570" s="18" t="s">
        <v>54</v>
      </c>
    </row>
    <row r="1571" spans="1:2" x14ac:dyDescent="0.25">
      <c r="A1571">
        <f>A1564+2</f>
        <v>109</v>
      </c>
      <c r="B1571" s="18" t="str" cm="1">
        <f t="array" aca="1" ref="B1571" ca="1">"#define MPU_NS_BASE_REG"&amp;A1563&amp;"   0x"&amp;INDIRECT("CONFIG_NS!A"&amp;A1571)</f>
        <v>#define MPU_NS_BASE_REG10   0x00000000</v>
      </c>
    </row>
    <row r="1572" spans="1:2" x14ac:dyDescent="0.25">
      <c r="B1572" s="18" t="s">
        <v>55</v>
      </c>
    </row>
    <row r="1573" spans="1:2" x14ac:dyDescent="0.25">
      <c r="B1573" s="18" t="s">
        <v>56</v>
      </c>
    </row>
    <row r="1574" spans="1:2" x14ac:dyDescent="0.25">
      <c r="A1574">
        <f>A1564+3</f>
        <v>110</v>
      </c>
      <c r="B1574" s="18" t="str">
        <f ca="1">"#define MPU_NS_END_REG"&amp;A1563&amp;"    0x"&amp;DEC2HEX(HEX2DEC(INDIRECT("CONFIG_NS!A"&amp;A1574))+1,8)</f>
        <v>#define MPU_NS_END_REG10    0x00000020</v>
      </c>
    </row>
    <row r="1575" spans="1:2" x14ac:dyDescent="0.25">
      <c r="B1575" s="18" t="str">
        <f>"#define MPU_NS_LIMIT_REG"&amp;A1563&amp;"  (MPU_NS_END_REG"&amp;A1563&amp;" - 1u)"</f>
        <v>#define MPU_NS_LIMIT_REG10  (MPU_NS_END_REG10 - 1u)</v>
      </c>
    </row>
    <row r="1576" spans="1:2" x14ac:dyDescent="0.25">
      <c r="B1576" s="18" t="s">
        <v>9</v>
      </c>
    </row>
    <row r="1577" spans="1:2" x14ac:dyDescent="0.25">
      <c r="B1577" s="18" t="s">
        <v>57</v>
      </c>
    </row>
    <row r="1578" spans="1:2" x14ac:dyDescent="0.25">
      <c r="B1578" s="18" t="s">
        <v>58</v>
      </c>
    </row>
    <row r="1579" spans="1:2" x14ac:dyDescent="0.25">
      <c r="B1579" s="18" t="s">
        <v>59</v>
      </c>
    </row>
    <row r="1580" spans="1:2" x14ac:dyDescent="0.25">
      <c r="B1580" s="18" t="s">
        <v>60</v>
      </c>
    </row>
    <row r="1581" spans="1:2" x14ac:dyDescent="0.25">
      <c r="A1581">
        <f>A1564+4</f>
        <v>111</v>
      </c>
      <c r="B1581" s="18" t="str" cm="1">
        <f t="array" aca="1" ref="B1581" ca="1">"#define MPU_NS_PERM_REG"&amp;A1563&amp;"   "&amp;INDIRECT("CONFIG_NS!A"&amp;A1581)-1</f>
        <v>#define MPU_NS_PERM_REG10   0</v>
      </c>
    </row>
    <row r="1582" spans="1:2" x14ac:dyDescent="0.25">
      <c r="B1582" s="18" t="s">
        <v>10</v>
      </c>
    </row>
    <row r="1583" spans="1:2" x14ac:dyDescent="0.25">
      <c r="A1583">
        <f>A1564+5</f>
        <v>112</v>
      </c>
      <c r="B1583" s="18" t="str">
        <f ca="1">"#define MPU_NS_XN_REG"&amp;A1563&amp;"     "&amp;N(INDIRECT("CONFIG_NS!A"&amp;A1583))</f>
        <v>#define MPU_NS_XN_REG10     0</v>
      </c>
    </row>
    <row r="1584" spans="1:2" x14ac:dyDescent="0.25">
      <c r="B1584" s="18" t="s">
        <v>61</v>
      </c>
    </row>
    <row r="1585" spans="1:2" x14ac:dyDescent="0.25">
      <c r="A1585">
        <f>A1566+6</f>
        <v>113</v>
      </c>
      <c r="B1585" s="18" t="str">
        <f ca="1">"#define MPU_NS_PXN_REG"&amp;A1563&amp;"    "&amp;N(INDIRECT("CONFIG_NS!A"&amp;A1585))</f>
        <v>#define MPU_NS_PXN_REG10    0</v>
      </c>
    </row>
    <row r="1586" spans="1:2" x14ac:dyDescent="0.25">
      <c r="B1586" s="18" t="s">
        <v>69</v>
      </c>
    </row>
    <row r="1587" spans="1:2" x14ac:dyDescent="0.25">
      <c r="B1587" s="18" t="s">
        <v>11</v>
      </c>
    </row>
    <row r="1588" spans="1:2" x14ac:dyDescent="0.25">
      <c r="B1588" s="18" t="s">
        <v>70</v>
      </c>
    </row>
    <row r="1589" spans="1:2" x14ac:dyDescent="0.25">
      <c r="B1589" s="18" t="s">
        <v>71</v>
      </c>
    </row>
    <row r="1590" spans="1:2" x14ac:dyDescent="0.25">
      <c r="B1590" s="18" t="s">
        <v>72</v>
      </c>
    </row>
    <row r="1591" spans="1:2" x14ac:dyDescent="0.25">
      <c r="A1591">
        <f>A1564+7</f>
        <v>114</v>
      </c>
      <c r="B1591" s="18" t="str" cm="1">
        <f t="array" aca="1" ref="B1591" ca="1">"#define MPU_NS_SHARE_REG"&amp;A1563&amp;"  "&amp;(INDIRECT("CONFIG_NS!A"&amp;A1591)-1)</f>
        <v>#define MPU_NS_SHARE_REG10  0</v>
      </c>
    </row>
    <row r="1592" spans="1:2" x14ac:dyDescent="0.25">
      <c r="B1592" s="18" t="s">
        <v>62</v>
      </c>
    </row>
    <row r="1593" spans="1:2" x14ac:dyDescent="0.25">
      <c r="B1593" s="18" t="s">
        <v>75</v>
      </c>
    </row>
    <row r="1594" spans="1:2" x14ac:dyDescent="0.25">
      <c r="B1594" s="18" t="s">
        <v>76</v>
      </c>
    </row>
    <row r="1595" spans="1:2" x14ac:dyDescent="0.25">
      <c r="B1595" s="18" t="s">
        <v>77</v>
      </c>
    </row>
    <row r="1596" spans="1:2" x14ac:dyDescent="0.25">
      <c r="B1596" s="18" t="s">
        <v>78</v>
      </c>
    </row>
    <row r="1597" spans="1:2" x14ac:dyDescent="0.25">
      <c r="B1597" s="18" t="s">
        <v>79</v>
      </c>
    </row>
    <row r="1598" spans="1:2" x14ac:dyDescent="0.25">
      <c r="B1598" s="18" t="s">
        <v>80</v>
      </c>
    </row>
    <row r="1599" spans="1:2" x14ac:dyDescent="0.25">
      <c r="B1599" s="18" t="s">
        <v>81</v>
      </c>
    </row>
    <row r="1600" spans="1:2" x14ac:dyDescent="0.25">
      <c r="B1600" s="18" t="s">
        <v>82</v>
      </c>
    </row>
    <row r="1601" spans="1:2" x14ac:dyDescent="0.25">
      <c r="A1601">
        <f>A1564+8</f>
        <v>115</v>
      </c>
      <c r="B1601" s="18" t="str" cm="1">
        <f t="array" aca="1" ref="B1601" ca="1">"#define MPU_NS_ATTRIND"&amp;A1563&amp;"    "&amp;INDIRECT("CONFIG_NS!A"&amp;A1601)-1</f>
        <v>#define MPU_NS_ATTRIND10    0</v>
      </c>
    </row>
    <row r="1602" spans="1:2" x14ac:dyDescent="0.25">
      <c r="B1602" s="18" t="str">
        <f>"//   &lt;/e&gt;   //MPU_NS Region "&amp;A1563&amp;" ********************************"</f>
        <v>//   &lt;/e&gt;   //MPU_NS Region 10 ********************************</v>
      </c>
    </row>
    <row r="1603" spans="1:2" x14ac:dyDescent="0.25">
      <c r="B1603" s="18" t="s">
        <v>138</v>
      </c>
    </row>
    <row r="1604" spans="1:2" x14ac:dyDescent="0.25">
      <c r="A1604" s="25">
        <f>A1563+1</f>
        <v>11</v>
      </c>
      <c r="B1604" s="18" t="str">
        <f>"// MPU_NS Region "&amp;A1604&amp;" ********************************"</f>
        <v>// MPU_NS Region 11 ********************************</v>
      </c>
    </row>
    <row r="1605" spans="1:2" x14ac:dyDescent="0.25">
      <c r="A1605" s="25">
        <f>A1564+10</f>
        <v>117</v>
      </c>
      <c r="B1605" s="18" t="str">
        <f>"// &lt;e&gt;Configure MPU_NS Region "&amp;A1604</f>
        <v>// &lt;e&gt;Configure MPU_NS Region 11</v>
      </c>
    </row>
    <row r="1606" spans="1:2" x14ac:dyDescent="0.25">
      <c r="B1606" s="18" t="s">
        <v>29</v>
      </c>
    </row>
    <row r="1607" spans="1:2" x14ac:dyDescent="0.25">
      <c r="A1607">
        <f>A1605</f>
        <v>117</v>
      </c>
      <c r="B1607" s="18" t="str">
        <f ca="1">"#define MPU_NS_CONFIG_REG"&amp;A1604&amp;" "&amp;N(INDIRECT("CONFIG_NS!A"&amp;A1607))</f>
        <v>#define MPU_NS_CONFIG_REG11 0</v>
      </c>
    </row>
    <row r="1608" spans="1:2" x14ac:dyDescent="0.25">
      <c r="B1608" s="18" t="s">
        <v>7</v>
      </c>
    </row>
    <row r="1609" spans="1:2" x14ac:dyDescent="0.25">
      <c r="A1609">
        <f>A1605+1</f>
        <v>118</v>
      </c>
      <c r="B1609" s="18" t="str">
        <f ca="1">"#define MPU_NS_ENABLE_REG"&amp;A1604&amp;" "&amp;N(INDIRECT("CONFIG_NS!A"&amp;A1609))</f>
        <v>#define MPU_NS_ENABLE_REG11 1</v>
      </c>
    </row>
    <row r="1610" spans="1:2" x14ac:dyDescent="0.25">
      <c r="B1610" s="18" t="s">
        <v>8</v>
      </c>
    </row>
    <row r="1611" spans="1:2" x14ac:dyDescent="0.25">
      <c r="B1611" s="18" t="s">
        <v>54</v>
      </c>
    </row>
    <row r="1612" spans="1:2" x14ac:dyDescent="0.25">
      <c r="A1612">
        <f>A1605+2</f>
        <v>119</v>
      </c>
      <c r="B1612" s="18" t="str" cm="1">
        <f t="array" aca="1" ref="B1612" ca="1">"#define MPU_NS_BASE_REG"&amp;A1604&amp;"   0x"&amp;INDIRECT("CONFIG_NS!A"&amp;A1612)</f>
        <v>#define MPU_NS_BASE_REG11   0x00000000</v>
      </c>
    </row>
    <row r="1613" spans="1:2" x14ac:dyDescent="0.25">
      <c r="B1613" s="18" t="s">
        <v>55</v>
      </c>
    </row>
    <row r="1614" spans="1:2" x14ac:dyDescent="0.25">
      <c r="B1614" s="18" t="s">
        <v>56</v>
      </c>
    </row>
    <row r="1615" spans="1:2" x14ac:dyDescent="0.25">
      <c r="A1615">
        <f>A1605+3</f>
        <v>120</v>
      </c>
      <c r="B1615" s="18" t="str">
        <f ca="1">"#define MPU_NS_END_REG"&amp;A1604&amp;"    0x"&amp;DEC2HEX(HEX2DEC(INDIRECT("CONFIG_NS!A"&amp;A1615))+1,8)</f>
        <v>#define MPU_NS_END_REG11    0x00000020</v>
      </c>
    </row>
    <row r="1616" spans="1:2" x14ac:dyDescent="0.25">
      <c r="B1616" s="18" t="str">
        <f>"#define MPU_NS_LIMIT_REG"&amp;A1604&amp;"  (MPU_NS_END_REG"&amp;A1604&amp;" - 1u)"</f>
        <v>#define MPU_NS_LIMIT_REG11  (MPU_NS_END_REG11 - 1u)</v>
      </c>
    </row>
    <row r="1617" spans="1:2" x14ac:dyDescent="0.25">
      <c r="B1617" s="18" t="s">
        <v>9</v>
      </c>
    </row>
    <row r="1618" spans="1:2" x14ac:dyDescent="0.25">
      <c r="B1618" s="18" t="s">
        <v>57</v>
      </c>
    </row>
    <row r="1619" spans="1:2" x14ac:dyDescent="0.25">
      <c r="B1619" s="18" t="s">
        <v>58</v>
      </c>
    </row>
    <row r="1620" spans="1:2" x14ac:dyDescent="0.25">
      <c r="B1620" s="18" t="s">
        <v>59</v>
      </c>
    </row>
    <row r="1621" spans="1:2" x14ac:dyDescent="0.25">
      <c r="B1621" s="18" t="s">
        <v>60</v>
      </c>
    </row>
    <row r="1622" spans="1:2" x14ac:dyDescent="0.25">
      <c r="A1622">
        <f>A1605+4</f>
        <v>121</v>
      </c>
      <c r="B1622" s="18" t="str" cm="1">
        <f t="array" aca="1" ref="B1622" ca="1">"#define MPU_NS_PERM_REG"&amp;A1604&amp;"   "&amp;INDIRECT("CONFIG_NS!A"&amp;A1622)-1</f>
        <v>#define MPU_NS_PERM_REG11   0</v>
      </c>
    </row>
    <row r="1623" spans="1:2" x14ac:dyDescent="0.25">
      <c r="B1623" s="18" t="s">
        <v>10</v>
      </c>
    </row>
    <row r="1624" spans="1:2" x14ac:dyDescent="0.25">
      <c r="A1624">
        <f>A1605+5</f>
        <v>122</v>
      </c>
      <c r="B1624" s="18" t="str">
        <f ca="1">"#define MPU_NS_XN_REG"&amp;A1604&amp;"     "&amp;N(INDIRECT("CONFIG_NS!A"&amp;A1624))</f>
        <v>#define MPU_NS_XN_REG11     0</v>
      </c>
    </row>
    <row r="1625" spans="1:2" x14ac:dyDescent="0.25">
      <c r="B1625" s="18" t="s">
        <v>61</v>
      </c>
    </row>
    <row r="1626" spans="1:2" x14ac:dyDescent="0.25">
      <c r="A1626">
        <f>A1607+6</f>
        <v>123</v>
      </c>
      <c r="B1626" s="18" t="str">
        <f ca="1">"#define MPU_NS_PXN_REG"&amp;A1604&amp;"    "&amp;N(INDIRECT("CONFIG_NS!A"&amp;A1626))</f>
        <v>#define MPU_NS_PXN_REG11    0</v>
      </c>
    </row>
    <row r="1627" spans="1:2" x14ac:dyDescent="0.25">
      <c r="B1627" s="18" t="s">
        <v>69</v>
      </c>
    </row>
    <row r="1628" spans="1:2" x14ac:dyDescent="0.25">
      <c r="B1628" s="18" t="s">
        <v>11</v>
      </c>
    </row>
    <row r="1629" spans="1:2" x14ac:dyDescent="0.25">
      <c r="B1629" s="18" t="s">
        <v>70</v>
      </c>
    </row>
    <row r="1630" spans="1:2" x14ac:dyDescent="0.25">
      <c r="B1630" s="18" t="s">
        <v>71</v>
      </c>
    </row>
    <row r="1631" spans="1:2" x14ac:dyDescent="0.25">
      <c r="B1631" s="18" t="s">
        <v>72</v>
      </c>
    </row>
    <row r="1632" spans="1:2" x14ac:dyDescent="0.25">
      <c r="A1632">
        <f>A1605+7</f>
        <v>124</v>
      </c>
      <c r="B1632" s="18" t="str" cm="1">
        <f t="array" aca="1" ref="B1632" ca="1">"#define MPU_NS_SHARE_REG"&amp;A1604&amp;"  "&amp;(INDIRECT("CONFIG_NS!A"&amp;A1632)-1)</f>
        <v>#define MPU_NS_SHARE_REG11  0</v>
      </c>
    </row>
    <row r="1633" spans="1:2" x14ac:dyDescent="0.25">
      <c r="B1633" s="18" t="s">
        <v>62</v>
      </c>
    </row>
    <row r="1634" spans="1:2" x14ac:dyDescent="0.25">
      <c r="B1634" s="18" t="s">
        <v>75</v>
      </c>
    </row>
    <row r="1635" spans="1:2" x14ac:dyDescent="0.25">
      <c r="B1635" s="18" t="s">
        <v>76</v>
      </c>
    </row>
    <row r="1636" spans="1:2" x14ac:dyDescent="0.25">
      <c r="B1636" s="18" t="s">
        <v>77</v>
      </c>
    </row>
    <row r="1637" spans="1:2" x14ac:dyDescent="0.25">
      <c r="B1637" s="18" t="s">
        <v>78</v>
      </c>
    </row>
    <row r="1638" spans="1:2" x14ac:dyDescent="0.25">
      <c r="B1638" s="18" t="s">
        <v>79</v>
      </c>
    </row>
    <row r="1639" spans="1:2" x14ac:dyDescent="0.25">
      <c r="B1639" s="18" t="s">
        <v>80</v>
      </c>
    </row>
    <row r="1640" spans="1:2" x14ac:dyDescent="0.25">
      <c r="B1640" s="18" t="s">
        <v>81</v>
      </c>
    </row>
    <row r="1641" spans="1:2" x14ac:dyDescent="0.25">
      <c r="B1641" s="18" t="s">
        <v>82</v>
      </c>
    </row>
    <row r="1642" spans="1:2" x14ac:dyDescent="0.25">
      <c r="A1642">
        <f>A1605+8</f>
        <v>125</v>
      </c>
      <c r="B1642" s="18" t="str" cm="1">
        <f t="array" aca="1" ref="B1642" ca="1">"#define MPU_NS_ATTRIND"&amp;A1604&amp;"    "&amp;INDIRECT("CONFIG_NS!A"&amp;A1642)-1</f>
        <v>#define MPU_NS_ATTRIND11    0</v>
      </c>
    </row>
    <row r="1643" spans="1:2" x14ac:dyDescent="0.25">
      <c r="B1643" s="18" t="str">
        <f>"//   &lt;/e&gt;   //MPU_NS Region "&amp;A1604&amp;" ********************************"</f>
        <v>//   &lt;/e&gt;   //MPU_NS Region 11 ********************************</v>
      </c>
    </row>
    <row r="1644" spans="1:2" x14ac:dyDescent="0.25">
      <c r="B1644" s="18" t="s">
        <v>138</v>
      </c>
    </row>
    <row r="1645" spans="1:2" x14ac:dyDescent="0.25">
      <c r="A1645" s="25">
        <f>A1604+1</f>
        <v>12</v>
      </c>
      <c r="B1645" s="18" t="str">
        <f>"// MPU_NS Region "&amp;A1645&amp;" ********************************"</f>
        <v>// MPU_NS Region 12 ********************************</v>
      </c>
    </row>
    <row r="1646" spans="1:2" x14ac:dyDescent="0.25">
      <c r="A1646" s="25">
        <f>A1605+10</f>
        <v>127</v>
      </c>
      <c r="B1646" s="18" t="str">
        <f>"// &lt;e&gt;Configure MPU_NS Region "&amp;A1645</f>
        <v>// &lt;e&gt;Configure MPU_NS Region 12</v>
      </c>
    </row>
    <row r="1647" spans="1:2" x14ac:dyDescent="0.25">
      <c r="B1647" s="18" t="s">
        <v>29</v>
      </c>
    </row>
    <row r="1648" spans="1:2" x14ac:dyDescent="0.25">
      <c r="A1648">
        <f>A1646</f>
        <v>127</v>
      </c>
      <c r="B1648" s="18" t="str">
        <f ca="1">"#define MPU_NS_CONFIG_REG"&amp;A1645&amp;" "&amp;N(INDIRECT("CONFIG_NS!A"&amp;A1648))</f>
        <v>#define MPU_NS_CONFIG_REG12 0</v>
      </c>
    </row>
    <row r="1649" spans="1:2" x14ac:dyDescent="0.25">
      <c r="B1649" s="18" t="s">
        <v>7</v>
      </c>
    </row>
    <row r="1650" spans="1:2" x14ac:dyDescent="0.25">
      <c r="A1650">
        <f>A1646+1</f>
        <v>128</v>
      </c>
      <c r="B1650" s="18" t="str">
        <f ca="1">"#define MPU_NS_ENABLE_REG"&amp;A1645&amp;" "&amp;N(INDIRECT("CONFIG_NS!A"&amp;A1650))</f>
        <v>#define MPU_NS_ENABLE_REG12 1</v>
      </c>
    </row>
    <row r="1651" spans="1:2" x14ac:dyDescent="0.25">
      <c r="B1651" s="18" t="s">
        <v>8</v>
      </c>
    </row>
    <row r="1652" spans="1:2" x14ac:dyDescent="0.25">
      <c r="B1652" s="18" t="s">
        <v>54</v>
      </c>
    </row>
    <row r="1653" spans="1:2" x14ac:dyDescent="0.25">
      <c r="A1653">
        <f>A1646+2</f>
        <v>129</v>
      </c>
      <c r="B1653" s="18" t="str" cm="1">
        <f t="array" aca="1" ref="B1653" ca="1">"#define MPU_NS_BASE_REG"&amp;A1645&amp;"   0x"&amp;INDIRECT("CONFIG_NS!A"&amp;A1653)</f>
        <v>#define MPU_NS_BASE_REG12   0x00000000</v>
      </c>
    </row>
    <row r="1654" spans="1:2" x14ac:dyDescent="0.25">
      <c r="B1654" s="18" t="s">
        <v>55</v>
      </c>
    </row>
    <row r="1655" spans="1:2" x14ac:dyDescent="0.25">
      <c r="B1655" s="18" t="s">
        <v>56</v>
      </c>
    </row>
    <row r="1656" spans="1:2" x14ac:dyDescent="0.25">
      <c r="A1656">
        <f>A1646+3</f>
        <v>130</v>
      </c>
      <c r="B1656" s="18" t="str">
        <f ca="1">"#define MPU_NS_END_REG"&amp;A1645&amp;"    0x"&amp;DEC2HEX(HEX2DEC(INDIRECT("CONFIG_NS!A"&amp;A1656))+1,8)</f>
        <v>#define MPU_NS_END_REG12    0x00000020</v>
      </c>
    </row>
    <row r="1657" spans="1:2" x14ac:dyDescent="0.25">
      <c r="B1657" s="18" t="str">
        <f>"#define MPU_NS_LIMIT_REG"&amp;A1645&amp;"  (MPU_NS_END_REG"&amp;A1645&amp;" - 1u)"</f>
        <v>#define MPU_NS_LIMIT_REG12  (MPU_NS_END_REG12 - 1u)</v>
      </c>
    </row>
    <row r="1658" spans="1:2" x14ac:dyDescent="0.25">
      <c r="B1658" s="18" t="s">
        <v>9</v>
      </c>
    </row>
    <row r="1659" spans="1:2" x14ac:dyDescent="0.25">
      <c r="B1659" s="18" t="s">
        <v>57</v>
      </c>
    </row>
    <row r="1660" spans="1:2" x14ac:dyDescent="0.25">
      <c r="B1660" s="18" t="s">
        <v>58</v>
      </c>
    </row>
    <row r="1661" spans="1:2" x14ac:dyDescent="0.25">
      <c r="B1661" s="18" t="s">
        <v>59</v>
      </c>
    </row>
    <row r="1662" spans="1:2" x14ac:dyDescent="0.25">
      <c r="B1662" s="18" t="s">
        <v>60</v>
      </c>
    </row>
    <row r="1663" spans="1:2" x14ac:dyDescent="0.25">
      <c r="A1663">
        <f>A1646+4</f>
        <v>131</v>
      </c>
      <c r="B1663" s="18" t="str" cm="1">
        <f t="array" aca="1" ref="B1663" ca="1">"#define MPU_NS_PERM_REG"&amp;A1645&amp;"   "&amp;INDIRECT("CONFIG_NS!A"&amp;A1663)-1</f>
        <v>#define MPU_NS_PERM_REG12   0</v>
      </c>
    </row>
    <row r="1664" spans="1:2" x14ac:dyDescent="0.25">
      <c r="B1664" s="18" t="s">
        <v>10</v>
      </c>
    </row>
    <row r="1665" spans="1:2" x14ac:dyDescent="0.25">
      <c r="A1665">
        <f>A1646+5</f>
        <v>132</v>
      </c>
      <c r="B1665" s="18" t="str">
        <f ca="1">"#define MPU_NS_XN_REG"&amp;A1645&amp;"     "&amp;N(INDIRECT("CONFIG_NS!A"&amp;A1665))</f>
        <v>#define MPU_NS_XN_REG12     0</v>
      </c>
    </row>
    <row r="1666" spans="1:2" x14ac:dyDescent="0.25">
      <c r="B1666" s="18" t="s">
        <v>61</v>
      </c>
    </row>
    <row r="1667" spans="1:2" x14ac:dyDescent="0.25">
      <c r="A1667">
        <f>A1648+6</f>
        <v>133</v>
      </c>
      <c r="B1667" s="18" t="str">
        <f ca="1">"#define MPU_NS_PXN_REG"&amp;A1645&amp;"    "&amp;N(INDIRECT("CONFIG_NS!A"&amp;A1667))</f>
        <v>#define MPU_NS_PXN_REG12    0</v>
      </c>
    </row>
    <row r="1668" spans="1:2" x14ac:dyDescent="0.25">
      <c r="B1668" s="18" t="s">
        <v>69</v>
      </c>
    </row>
    <row r="1669" spans="1:2" x14ac:dyDescent="0.25">
      <c r="B1669" s="18" t="s">
        <v>11</v>
      </c>
    </row>
    <row r="1670" spans="1:2" x14ac:dyDescent="0.25">
      <c r="B1670" s="18" t="s">
        <v>70</v>
      </c>
    </row>
    <row r="1671" spans="1:2" x14ac:dyDescent="0.25">
      <c r="B1671" s="18" t="s">
        <v>71</v>
      </c>
    </row>
    <row r="1672" spans="1:2" x14ac:dyDescent="0.25">
      <c r="B1672" s="18" t="s">
        <v>72</v>
      </c>
    </row>
    <row r="1673" spans="1:2" x14ac:dyDescent="0.25">
      <c r="A1673">
        <f>A1646+7</f>
        <v>134</v>
      </c>
      <c r="B1673" s="18" t="str" cm="1">
        <f t="array" aca="1" ref="B1673" ca="1">"#define MPU_NS_SHARE_REG"&amp;A1645&amp;"  "&amp;(INDIRECT("CONFIG_NS!A"&amp;A1673)-1)</f>
        <v>#define MPU_NS_SHARE_REG12  0</v>
      </c>
    </row>
    <row r="1674" spans="1:2" x14ac:dyDescent="0.25">
      <c r="B1674" s="18" t="s">
        <v>62</v>
      </c>
    </row>
    <row r="1675" spans="1:2" x14ac:dyDescent="0.25">
      <c r="B1675" s="18" t="s">
        <v>75</v>
      </c>
    </row>
    <row r="1676" spans="1:2" x14ac:dyDescent="0.25">
      <c r="B1676" s="18" t="s">
        <v>76</v>
      </c>
    </row>
    <row r="1677" spans="1:2" x14ac:dyDescent="0.25">
      <c r="B1677" s="18" t="s">
        <v>77</v>
      </c>
    </row>
    <row r="1678" spans="1:2" x14ac:dyDescent="0.25">
      <c r="B1678" s="18" t="s">
        <v>78</v>
      </c>
    </row>
    <row r="1679" spans="1:2" x14ac:dyDescent="0.25">
      <c r="B1679" s="18" t="s">
        <v>79</v>
      </c>
    </row>
    <row r="1680" spans="1:2" x14ac:dyDescent="0.25">
      <c r="B1680" s="18" t="s">
        <v>80</v>
      </c>
    </row>
    <row r="1681" spans="1:2" x14ac:dyDescent="0.25">
      <c r="B1681" s="18" t="s">
        <v>81</v>
      </c>
    </row>
    <row r="1682" spans="1:2" x14ac:dyDescent="0.25">
      <c r="B1682" s="18" t="s">
        <v>82</v>
      </c>
    </row>
    <row r="1683" spans="1:2" x14ac:dyDescent="0.25">
      <c r="A1683">
        <f>A1646+8</f>
        <v>135</v>
      </c>
      <c r="B1683" s="18" t="str" cm="1">
        <f t="array" aca="1" ref="B1683" ca="1">"#define MPU_NS_ATTRIND"&amp;A1645&amp;"    "&amp;INDIRECT("CONFIG_NS!A"&amp;A1683)-1</f>
        <v>#define MPU_NS_ATTRIND12    0</v>
      </c>
    </row>
    <row r="1684" spans="1:2" x14ac:dyDescent="0.25">
      <c r="B1684" s="18" t="str">
        <f>"//   &lt;/e&gt;   //MPU_NS Region "&amp;A1645&amp;" ********************************"</f>
        <v>//   &lt;/e&gt;   //MPU_NS Region 12 ********************************</v>
      </c>
    </row>
    <row r="1685" spans="1:2" x14ac:dyDescent="0.25">
      <c r="B1685" s="18" t="s">
        <v>138</v>
      </c>
    </row>
    <row r="1686" spans="1:2" x14ac:dyDescent="0.25">
      <c r="A1686" s="25">
        <f>A1645+1</f>
        <v>13</v>
      </c>
      <c r="B1686" s="18" t="str">
        <f>"// MPU_NS Region "&amp;A1686&amp;" ********************************"</f>
        <v>// MPU_NS Region 13 ********************************</v>
      </c>
    </row>
    <row r="1687" spans="1:2" x14ac:dyDescent="0.25">
      <c r="A1687" s="25">
        <f>A1646+10</f>
        <v>137</v>
      </c>
      <c r="B1687" s="18" t="str">
        <f>"// &lt;e&gt;Configure MPU_NS Region "&amp;A1686</f>
        <v>// &lt;e&gt;Configure MPU_NS Region 13</v>
      </c>
    </row>
    <row r="1688" spans="1:2" x14ac:dyDescent="0.25">
      <c r="B1688" s="18" t="s">
        <v>29</v>
      </c>
    </row>
    <row r="1689" spans="1:2" x14ac:dyDescent="0.25">
      <c r="A1689">
        <f>A1687</f>
        <v>137</v>
      </c>
      <c r="B1689" s="18" t="str">
        <f ca="1">"#define MPU_NS_CONFIG_REG"&amp;A1686&amp;" "&amp;N(INDIRECT("CONFIG_NS!A"&amp;A1689))</f>
        <v>#define MPU_NS_CONFIG_REG13 0</v>
      </c>
    </row>
    <row r="1690" spans="1:2" x14ac:dyDescent="0.25">
      <c r="B1690" s="18" t="s">
        <v>7</v>
      </c>
    </row>
    <row r="1691" spans="1:2" x14ac:dyDescent="0.25">
      <c r="A1691">
        <f>A1687+1</f>
        <v>138</v>
      </c>
      <c r="B1691" s="18" t="str">
        <f ca="1">"#define MPU_NS_ENABLE_REG"&amp;A1686&amp;" "&amp;N(INDIRECT("CONFIG_NS!A"&amp;A1691))</f>
        <v>#define MPU_NS_ENABLE_REG13 1</v>
      </c>
    </row>
    <row r="1692" spans="1:2" x14ac:dyDescent="0.25">
      <c r="B1692" s="18" t="s">
        <v>8</v>
      </c>
    </row>
    <row r="1693" spans="1:2" x14ac:dyDescent="0.25">
      <c r="B1693" s="18" t="s">
        <v>54</v>
      </c>
    </row>
    <row r="1694" spans="1:2" x14ac:dyDescent="0.25">
      <c r="A1694">
        <f>A1687+2</f>
        <v>139</v>
      </c>
      <c r="B1694" s="18" t="str" cm="1">
        <f t="array" aca="1" ref="B1694" ca="1">"#define MPU_NS_BASE_REG"&amp;A1686&amp;"   0x"&amp;INDIRECT("CONFIG_NS!A"&amp;A1694)</f>
        <v>#define MPU_NS_BASE_REG13   0x00000000</v>
      </c>
    </row>
    <row r="1695" spans="1:2" x14ac:dyDescent="0.25">
      <c r="B1695" s="18" t="s">
        <v>55</v>
      </c>
    </row>
    <row r="1696" spans="1:2" x14ac:dyDescent="0.25">
      <c r="B1696" s="18" t="s">
        <v>56</v>
      </c>
    </row>
    <row r="1697" spans="1:2" x14ac:dyDescent="0.25">
      <c r="A1697">
        <f>A1687+3</f>
        <v>140</v>
      </c>
      <c r="B1697" s="18" t="str">
        <f ca="1">"#define MPU_NS_END_REG"&amp;A1686&amp;"    0x"&amp;DEC2HEX(HEX2DEC(INDIRECT("CONFIG_NS!A"&amp;A1697))+1,8)</f>
        <v>#define MPU_NS_END_REG13    0x00000020</v>
      </c>
    </row>
    <row r="1698" spans="1:2" x14ac:dyDescent="0.25">
      <c r="B1698" s="18" t="str">
        <f>"#define MPU_NS_LIMIT_REG"&amp;A1686&amp;"  (MPU_NS_END_REG"&amp;A1686&amp;" - 1u)"</f>
        <v>#define MPU_NS_LIMIT_REG13  (MPU_NS_END_REG13 - 1u)</v>
      </c>
    </row>
    <row r="1699" spans="1:2" x14ac:dyDescent="0.25">
      <c r="B1699" s="18" t="s">
        <v>9</v>
      </c>
    </row>
    <row r="1700" spans="1:2" x14ac:dyDescent="0.25">
      <c r="B1700" s="18" t="s">
        <v>57</v>
      </c>
    </row>
    <row r="1701" spans="1:2" x14ac:dyDescent="0.25">
      <c r="B1701" s="18" t="s">
        <v>58</v>
      </c>
    </row>
    <row r="1702" spans="1:2" x14ac:dyDescent="0.25">
      <c r="B1702" s="18" t="s">
        <v>59</v>
      </c>
    </row>
    <row r="1703" spans="1:2" x14ac:dyDescent="0.25">
      <c r="B1703" s="18" t="s">
        <v>60</v>
      </c>
    </row>
    <row r="1704" spans="1:2" x14ac:dyDescent="0.25">
      <c r="A1704">
        <f>A1687+4</f>
        <v>141</v>
      </c>
      <c r="B1704" s="18" t="str" cm="1">
        <f t="array" aca="1" ref="B1704" ca="1">"#define MPU_NS_PERM_REG"&amp;A1686&amp;"   "&amp;INDIRECT("CONFIG_NS!A"&amp;A1704)-1</f>
        <v>#define MPU_NS_PERM_REG13   0</v>
      </c>
    </row>
    <row r="1705" spans="1:2" x14ac:dyDescent="0.25">
      <c r="B1705" s="18" t="s">
        <v>10</v>
      </c>
    </row>
    <row r="1706" spans="1:2" x14ac:dyDescent="0.25">
      <c r="A1706">
        <f>A1687+5</f>
        <v>142</v>
      </c>
      <c r="B1706" s="18" t="str">
        <f ca="1">"#define MPU_NS_XN_REG"&amp;A1686&amp;"     "&amp;N(INDIRECT("CONFIG_NS!A"&amp;A1706))</f>
        <v>#define MPU_NS_XN_REG13     0</v>
      </c>
    </row>
    <row r="1707" spans="1:2" x14ac:dyDescent="0.25">
      <c r="B1707" s="18" t="s">
        <v>61</v>
      </c>
    </row>
    <row r="1708" spans="1:2" x14ac:dyDescent="0.25">
      <c r="A1708">
        <f>A1689+6</f>
        <v>143</v>
      </c>
      <c r="B1708" s="18" t="str">
        <f ca="1">"#define MPU_NS_PXN_REG"&amp;A1686&amp;"    "&amp;N(INDIRECT("CONFIG_NS!A"&amp;A1708))</f>
        <v>#define MPU_NS_PXN_REG13    0</v>
      </c>
    </row>
    <row r="1709" spans="1:2" x14ac:dyDescent="0.25">
      <c r="B1709" s="18" t="s">
        <v>69</v>
      </c>
    </row>
    <row r="1710" spans="1:2" x14ac:dyDescent="0.25">
      <c r="B1710" s="18" t="s">
        <v>11</v>
      </c>
    </row>
    <row r="1711" spans="1:2" x14ac:dyDescent="0.25">
      <c r="B1711" s="18" t="s">
        <v>70</v>
      </c>
    </row>
    <row r="1712" spans="1:2" x14ac:dyDescent="0.25">
      <c r="B1712" s="18" t="s">
        <v>71</v>
      </c>
    </row>
    <row r="1713" spans="1:2" x14ac:dyDescent="0.25">
      <c r="B1713" s="18" t="s">
        <v>72</v>
      </c>
    </row>
    <row r="1714" spans="1:2" x14ac:dyDescent="0.25">
      <c r="A1714">
        <f>A1687+7</f>
        <v>144</v>
      </c>
      <c r="B1714" s="18" t="str" cm="1">
        <f t="array" aca="1" ref="B1714" ca="1">"#define MPU_NS_SHARE_REG"&amp;A1686&amp;"  "&amp;(INDIRECT("CONFIG_NS!A"&amp;A1714)-1)</f>
        <v>#define MPU_NS_SHARE_REG13  0</v>
      </c>
    </row>
    <row r="1715" spans="1:2" x14ac:dyDescent="0.25">
      <c r="B1715" s="18" t="s">
        <v>62</v>
      </c>
    </row>
    <row r="1716" spans="1:2" x14ac:dyDescent="0.25">
      <c r="B1716" s="18" t="s">
        <v>75</v>
      </c>
    </row>
    <row r="1717" spans="1:2" x14ac:dyDescent="0.25">
      <c r="B1717" s="18" t="s">
        <v>76</v>
      </c>
    </row>
    <row r="1718" spans="1:2" x14ac:dyDescent="0.25">
      <c r="B1718" s="18" t="s">
        <v>77</v>
      </c>
    </row>
    <row r="1719" spans="1:2" x14ac:dyDescent="0.25">
      <c r="B1719" s="18" t="s">
        <v>78</v>
      </c>
    </row>
    <row r="1720" spans="1:2" x14ac:dyDescent="0.25">
      <c r="B1720" s="18" t="s">
        <v>79</v>
      </c>
    </row>
    <row r="1721" spans="1:2" x14ac:dyDescent="0.25">
      <c r="B1721" s="18" t="s">
        <v>80</v>
      </c>
    </row>
    <row r="1722" spans="1:2" x14ac:dyDescent="0.25">
      <c r="B1722" s="18" t="s">
        <v>81</v>
      </c>
    </row>
    <row r="1723" spans="1:2" x14ac:dyDescent="0.25">
      <c r="B1723" s="18" t="s">
        <v>82</v>
      </c>
    </row>
    <row r="1724" spans="1:2" x14ac:dyDescent="0.25">
      <c r="A1724">
        <f>A1687+8</f>
        <v>145</v>
      </c>
      <c r="B1724" s="18" t="str" cm="1">
        <f t="array" aca="1" ref="B1724" ca="1">"#define MPU_NS_ATTRIND"&amp;A1686&amp;"    "&amp;INDIRECT("CONFIG_NS!A"&amp;A1724)-1</f>
        <v>#define MPU_NS_ATTRIND13    0</v>
      </c>
    </row>
    <row r="1725" spans="1:2" x14ac:dyDescent="0.25">
      <c r="B1725" s="18" t="str">
        <f>"//   &lt;/e&gt;   //MPU_NS Region "&amp;A1686&amp;" ********************************"</f>
        <v>//   &lt;/e&gt;   //MPU_NS Region 13 ********************************</v>
      </c>
    </row>
    <row r="1726" spans="1:2" x14ac:dyDescent="0.25">
      <c r="B1726" s="18" t="s">
        <v>138</v>
      </c>
    </row>
    <row r="1727" spans="1:2" x14ac:dyDescent="0.25">
      <c r="A1727" s="25">
        <f>A1686+1</f>
        <v>14</v>
      </c>
      <c r="B1727" s="18" t="str">
        <f>"// MPU_NS Region "&amp;A1727&amp;" ********************************"</f>
        <v>// MPU_NS Region 14 ********************************</v>
      </c>
    </row>
    <row r="1728" spans="1:2" x14ac:dyDescent="0.25">
      <c r="A1728" s="25">
        <f>A1687+10</f>
        <v>147</v>
      </c>
      <c r="B1728" s="18" t="str">
        <f>"// &lt;e&gt;Configure MPU_NS Region "&amp;A1727</f>
        <v>// &lt;e&gt;Configure MPU_NS Region 14</v>
      </c>
    </row>
    <row r="1729" spans="1:2" x14ac:dyDescent="0.25">
      <c r="B1729" s="18" t="s">
        <v>29</v>
      </c>
    </row>
    <row r="1730" spans="1:2" x14ac:dyDescent="0.25">
      <c r="A1730">
        <f>A1728</f>
        <v>147</v>
      </c>
      <c r="B1730" s="18" t="str">
        <f ca="1">"#define MPU_NS_CONFIG_REG"&amp;A1727&amp;" "&amp;N(INDIRECT("CONFIG_NS!A"&amp;A1730))</f>
        <v>#define MPU_NS_CONFIG_REG14 0</v>
      </c>
    </row>
    <row r="1731" spans="1:2" x14ac:dyDescent="0.25">
      <c r="B1731" s="18" t="s">
        <v>7</v>
      </c>
    </row>
    <row r="1732" spans="1:2" x14ac:dyDescent="0.25">
      <c r="A1732">
        <f>A1728+1</f>
        <v>148</v>
      </c>
      <c r="B1732" s="18" t="str">
        <f ca="1">"#define MPU_NS_ENABLE_REG"&amp;A1727&amp;" "&amp;N(INDIRECT("CONFIG_NS!A"&amp;A1732))</f>
        <v>#define MPU_NS_ENABLE_REG14 1</v>
      </c>
    </row>
    <row r="1733" spans="1:2" x14ac:dyDescent="0.25">
      <c r="B1733" s="18" t="s">
        <v>8</v>
      </c>
    </row>
    <row r="1734" spans="1:2" x14ac:dyDescent="0.25">
      <c r="B1734" s="18" t="s">
        <v>54</v>
      </c>
    </row>
    <row r="1735" spans="1:2" x14ac:dyDescent="0.25">
      <c r="A1735">
        <f>A1728+2</f>
        <v>149</v>
      </c>
      <c r="B1735" s="18" t="str" cm="1">
        <f t="array" aca="1" ref="B1735" ca="1">"#define MPU_NS_BASE_REG"&amp;A1727&amp;"   0x"&amp;INDIRECT("CONFIG_NS!A"&amp;A1735)</f>
        <v>#define MPU_NS_BASE_REG14   0x00000000</v>
      </c>
    </row>
    <row r="1736" spans="1:2" x14ac:dyDescent="0.25">
      <c r="B1736" s="18" t="s">
        <v>55</v>
      </c>
    </row>
    <row r="1737" spans="1:2" x14ac:dyDescent="0.25">
      <c r="B1737" s="18" t="s">
        <v>56</v>
      </c>
    </row>
    <row r="1738" spans="1:2" x14ac:dyDescent="0.25">
      <c r="A1738">
        <f>A1728+3</f>
        <v>150</v>
      </c>
      <c r="B1738" s="18" t="str">
        <f ca="1">"#define MPU_NS_END_REG"&amp;A1727&amp;"    0x"&amp;DEC2HEX(HEX2DEC(INDIRECT("CONFIG_NS!A"&amp;A1738))+1,8)</f>
        <v>#define MPU_NS_END_REG14    0x00000020</v>
      </c>
    </row>
    <row r="1739" spans="1:2" x14ac:dyDescent="0.25">
      <c r="B1739" s="18" t="str">
        <f>"#define MPU_NS_LIMIT_REG"&amp;A1727&amp;"  (MPU_NS_END_REG"&amp;A1727&amp;" - 1u)"</f>
        <v>#define MPU_NS_LIMIT_REG14  (MPU_NS_END_REG14 - 1u)</v>
      </c>
    </row>
    <row r="1740" spans="1:2" x14ac:dyDescent="0.25">
      <c r="B1740" s="18" t="s">
        <v>9</v>
      </c>
    </row>
    <row r="1741" spans="1:2" x14ac:dyDescent="0.25">
      <c r="B1741" s="18" t="s">
        <v>57</v>
      </c>
    </row>
    <row r="1742" spans="1:2" x14ac:dyDescent="0.25">
      <c r="B1742" s="18" t="s">
        <v>58</v>
      </c>
    </row>
    <row r="1743" spans="1:2" x14ac:dyDescent="0.25">
      <c r="B1743" s="18" t="s">
        <v>59</v>
      </c>
    </row>
    <row r="1744" spans="1:2" x14ac:dyDescent="0.25">
      <c r="B1744" s="18" t="s">
        <v>60</v>
      </c>
    </row>
    <row r="1745" spans="1:2" x14ac:dyDescent="0.25">
      <c r="A1745">
        <f>A1728+4</f>
        <v>151</v>
      </c>
      <c r="B1745" s="18" t="str" cm="1">
        <f t="array" aca="1" ref="B1745" ca="1">"#define MPU_NS_PERM_REG"&amp;A1727&amp;"   "&amp;INDIRECT("CONFIG_NS!A"&amp;A1745)-1</f>
        <v>#define MPU_NS_PERM_REG14   0</v>
      </c>
    </row>
    <row r="1746" spans="1:2" x14ac:dyDescent="0.25">
      <c r="B1746" s="18" t="s">
        <v>10</v>
      </c>
    </row>
    <row r="1747" spans="1:2" x14ac:dyDescent="0.25">
      <c r="A1747">
        <f>A1728+5</f>
        <v>152</v>
      </c>
      <c r="B1747" s="18" t="str">
        <f ca="1">"#define MPU_NS_XN_REG"&amp;A1727&amp;"     "&amp;N(INDIRECT("CONFIG_NS!A"&amp;A1747))</f>
        <v>#define MPU_NS_XN_REG14     0</v>
      </c>
    </row>
    <row r="1748" spans="1:2" x14ac:dyDescent="0.25">
      <c r="B1748" s="18" t="s">
        <v>61</v>
      </c>
    </row>
    <row r="1749" spans="1:2" x14ac:dyDescent="0.25">
      <c r="A1749">
        <f>A1730+6</f>
        <v>153</v>
      </c>
      <c r="B1749" s="18" t="str">
        <f ca="1">"#define MPU_NS_PXN_REG"&amp;A1727&amp;"    "&amp;N(INDIRECT("CONFIG_NS!A"&amp;A1749))</f>
        <v>#define MPU_NS_PXN_REG14    0</v>
      </c>
    </row>
    <row r="1750" spans="1:2" x14ac:dyDescent="0.25">
      <c r="B1750" s="18" t="s">
        <v>69</v>
      </c>
    </row>
    <row r="1751" spans="1:2" x14ac:dyDescent="0.25">
      <c r="B1751" s="18" t="s">
        <v>11</v>
      </c>
    </row>
    <row r="1752" spans="1:2" x14ac:dyDescent="0.25">
      <c r="B1752" s="18" t="s">
        <v>70</v>
      </c>
    </row>
    <row r="1753" spans="1:2" x14ac:dyDescent="0.25">
      <c r="B1753" s="18" t="s">
        <v>71</v>
      </c>
    </row>
    <row r="1754" spans="1:2" x14ac:dyDescent="0.25">
      <c r="B1754" s="18" t="s">
        <v>72</v>
      </c>
    </row>
    <row r="1755" spans="1:2" x14ac:dyDescent="0.25">
      <c r="A1755">
        <f>A1728+7</f>
        <v>154</v>
      </c>
      <c r="B1755" s="18" t="str" cm="1">
        <f t="array" aca="1" ref="B1755" ca="1">"#define MPU_NS_SHARE_REG"&amp;A1727&amp;"  "&amp;(INDIRECT("CONFIG_NS!A"&amp;A1755)-1)</f>
        <v>#define MPU_NS_SHARE_REG14  0</v>
      </c>
    </row>
    <row r="1756" spans="1:2" x14ac:dyDescent="0.25">
      <c r="B1756" s="18" t="s">
        <v>62</v>
      </c>
    </row>
    <row r="1757" spans="1:2" x14ac:dyDescent="0.25">
      <c r="B1757" s="18" t="s">
        <v>75</v>
      </c>
    </row>
    <row r="1758" spans="1:2" x14ac:dyDescent="0.25">
      <c r="B1758" s="18" t="s">
        <v>76</v>
      </c>
    </row>
    <row r="1759" spans="1:2" x14ac:dyDescent="0.25">
      <c r="B1759" s="18" t="s">
        <v>77</v>
      </c>
    </row>
    <row r="1760" spans="1:2" x14ac:dyDescent="0.25">
      <c r="B1760" s="18" t="s">
        <v>78</v>
      </c>
    </row>
    <row r="1761" spans="1:2" x14ac:dyDescent="0.25">
      <c r="B1761" s="18" t="s">
        <v>79</v>
      </c>
    </row>
    <row r="1762" spans="1:2" x14ac:dyDescent="0.25">
      <c r="B1762" s="18" t="s">
        <v>80</v>
      </c>
    </row>
    <row r="1763" spans="1:2" x14ac:dyDescent="0.25">
      <c r="B1763" s="18" t="s">
        <v>81</v>
      </c>
    </row>
    <row r="1764" spans="1:2" x14ac:dyDescent="0.25">
      <c r="B1764" s="18" t="s">
        <v>82</v>
      </c>
    </row>
    <row r="1765" spans="1:2" x14ac:dyDescent="0.25">
      <c r="A1765">
        <f>A1728+8</f>
        <v>155</v>
      </c>
      <c r="B1765" s="18" t="str" cm="1">
        <f t="array" aca="1" ref="B1765" ca="1">"#define MPU_NS_ATTRIND"&amp;A1727&amp;"    "&amp;INDIRECT("CONFIG_NS!A"&amp;A1765)-1</f>
        <v>#define MPU_NS_ATTRIND14    0</v>
      </c>
    </row>
    <row r="1766" spans="1:2" x14ac:dyDescent="0.25">
      <c r="B1766" s="18" t="str">
        <f>"//   &lt;/e&gt;   //MPU_NS Region "&amp;A1727&amp;" ********************************"</f>
        <v>//   &lt;/e&gt;   //MPU_NS Region 14 ********************************</v>
      </c>
    </row>
    <row r="1767" spans="1:2" x14ac:dyDescent="0.25">
      <c r="B1767" s="18" t="s">
        <v>138</v>
      </c>
    </row>
    <row r="1768" spans="1:2" x14ac:dyDescent="0.25">
      <c r="A1768" s="25">
        <f>A1727+1</f>
        <v>15</v>
      </c>
      <c r="B1768" s="18" t="str">
        <f>"// MPU_NS Region "&amp;A1768&amp;" ********************************"</f>
        <v>// MPU_NS Region 15 ********************************</v>
      </c>
    </row>
    <row r="1769" spans="1:2" x14ac:dyDescent="0.25">
      <c r="A1769" s="25">
        <f>A1728+10</f>
        <v>157</v>
      </c>
      <c r="B1769" s="18" t="str">
        <f>"// &lt;e&gt;Configure MPU_NS Region "&amp;A1768</f>
        <v>// &lt;e&gt;Configure MPU_NS Region 15</v>
      </c>
    </row>
    <row r="1770" spans="1:2" x14ac:dyDescent="0.25">
      <c r="B1770" s="18" t="s">
        <v>29</v>
      </c>
    </row>
    <row r="1771" spans="1:2" x14ac:dyDescent="0.25">
      <c r="A1771">
        <f>A1769</f>
        <v>157</v>
      </c>
      <c r="B1771" s="18" t="str">
        <f ca="1">"#define MPU_NS_CONFIG_REG"&amp;A1768&amp;" "&amp;N(INDIRECT("CONFIG_NS!A"&amp;A1771))</f>
        <v>#define MPU_NS_CONFIG_REG15 0</v>
      </c>
    </row>
    <row r="1772" spans="1:2" x14ac:dyDescent="0.25">
      <c r="B1772" s="18" t="s">
        <v>7</v>
      </c>
    </row>
    <row r="1773" spans="1:2" x14ac:dyDescent="0.25">
      <c r="A1773">
        <f>A1769+1</f>
        <v>158</v>
      </c>
      <c r="B1773" s="18" t="str">
        <f ca="1">"#define MPU_NS_ENABLE_REG"&amp;A1768&amp;" "&amp;N(INDIRECT("CONFIG_NS!A"&amp;A1773))</f>
        <v>#define MPU_NS_ENABLE_REG15 1</v>
      </c>
    </row>
    <row r="1774" spans="1:2" x14ac:dyDescent="0.25">
      <c r="B1774" s="18" t="s">
        <v>8</v>
      </c>
    </row>
    <row r="1775" spans="1:2" x14ac:dyDescent="0.25">
      <c r="B1775" s="18" t="s">
        <v>54</v>
      </c>
    </row>
    <row r="1776" spans="1:2" x14ac:dyDescent="0.25">
      <c r="A1776">
        <f>A1769+2</f>
        <v>159</v>
      </c>
      <c r="B1776" s="18" t="str" cm="1">
        <f t="array" aca="1" ref="B1776" ca="1">"#define MPU_NS_BASE_REG"&amp;A1768&amp;"   0x"&amp;INDIRECT("CONFIG_NS!A"&amp;A1776)</f>
        <v>#define MPU_NS_BASE_REG15   0x00000000</v>
      </c>
    </row>
    <row r="1777" spans="1:2" x14ac:dyDescent="0.25">
      <c r="B1777" s="18" t="s">
        <v>55</v>
      </c>
    </row>
    <row r="1778" spans="1:2" x14ac:dyDescent="0.25">
      <c r="B1778" s="18" t="s">
        <v>56</v>
      </c>
    </row>
    <row r="1779" spans="1:2" x14ac:dyDescent="0.25">
      <c r="A1779">
        <f>A1769+3</f>
        <v>160</v>
      </c>
      <c r="B1779" s="18" t="str">
        <f ca="1">"#define MPU_NS_END_REG"&amp;A1768&amp;"    0x"&amp;DEC2HEX(HEX2DEC(INDIRECT("CONFIG_NS!A"&amp;A1779))+1,8)</f>
        <v>#define MPU_NS_END_REG15    0x00000020</v>
      </c>
    </row>
    <row r="1780" spans="1:2" x14ac:dyDescent="0.25">
      <c r="B1780" s="18" t="str">
        <f>"#define MPU_NS_LIMIT_REG"&amp;A1768&amp;"  (MPU_NS_END_REG"&amp;A1768&amp;" - 1u)"</f>
        <v>#define MPU_NS_LIMIT_REG15  (MPU_NS_END_REG15 - 1u)</v>
      </c>
    </row>
    <row r="1781" spans="1:2" x14ac:dyDescent="0.25">
      <c r="B1781" s="18" t="s">
        <v>9</v>
      </c>
    </row>
    <row r="1782" spans="1:2" x14ac:dyDescent="0.25">
      <c r="B1782" s="18" t="s">
        <v>57</v>
      </c>
    </row>
    <row r="1783" spans="1:2" x14ac:dyDescent="0.25">
      <c r="B1783" s="18" t="s">
        <v>58</v>
      </c>
    </row>
    <row r="1784" spans="1:2" x14ac:dyDescent="0.25">
      <c r="B1784" s="18" t="s">
        <v>59</v>
      </c>
    </row>
    <row r="1785" spans="1:2" x14ac:dyDescent="0.25">
      <c r="B1785" s="18" t="s">
        <v>60</v>
      </c>
    </row>
    <row r="1786" spans="1:2" x14ac:dyDescent="0.25">
      <c r="A1786">
        <f>A1769+4</f>
        <v>161</v>
      </c>
      <c r="B1786" s="18" t="str" cm="1">
        <f t="array" aca="1" ref="B1786" ca="1">"#define MPU_NS_PERM_REG"&amp;A1768&amp;"   "&amp;INDIRECT("CONFIG_NS!A"&amp;A1786)-1</f>
        <v>#define MPU_NS_PERM_REG15   0</v>
      </c>
    </row>
    <row r="1787" spans="1:2" x14ac:dyDescent="0.25">
      <c r="B1787" s="18" t="s">
        <v>10</v>
      </c>
    </row>
    <row r="1788" spans="1:2" x14ac:dyDescent="0.25">
      <c r="A1788">
        <f>A1769+5</f>
        <v>162</v>
      </c>
      <c r="B1788" s="18" t="str">
        <f ca="1">"#define MPU_NS_XN_REG"&amp;A1768&amp;"     "&amp;N(INDIRECT("CONFIG_NS!A"&amp;A1788))</f>
        <v>#define MPU_NS_XN_REG15     0</v>
      </c>
    </row>
    <row r="1789" spans="1:2" x14ac:dyDescent="0.25">
      <c r="B1789" s="18" t="s">
        <v>61</v>
      </c>
    </row>
    <row r="1790" spans="1:2" x14ac:dyDescent="0.25">
      <c r="A1790">
        <f>A1771+6</f>
        <v>163</v>
      </c>
      <c r="B1790" s="18" t="str">
        <f ca="1">"#define MPU_NS_PXN_REG"&amp;A1768&amp;"    "&amp;N(INDIRECT("CONFIG_NS!A"&amp;A1790))</f>
        <v>#define MPU_NS_PXN_REG15    0</v>
      </c>
    </row>
    <row r="1791" spans="1:2" x14ac:dyDescent="0.25">
      <c r="B1791" s="18" t="s">
        <v>69</v>
      </c>
    </row>
    <row r="1792" spans="1:2" x14ac:dyDescent="0.25">
      <c r="B1792" s="18" t="s">
        <v>11</v>
      </c>
    </row>
    <row r="1793" spans="1:2" x14ac:dyDescent="0.25">
      <c r="B1793" s="18" t="s">
        <v>70</v>
      </c>
    </row>
    <row r="1794" spans="1:2" x14ac:dyDescent="0.25">
      <c r="B1794" s="18" t="s">
        <v>71</v>
      </c>
    </row>
    <row r="1795" spans="1:2" x14ac:dyDescent="0.25">
      <c r="B1795" s="18" t="s">
        <v>72</v>
      </c>
    </row>
    <row r="1796" spans="1:2" x14ac:dyDescent="0.25">
      <c r="A1796">
        <f>A1769+7</f>
        <v>164</v>
      </c>
      <c r="B1796" s="18" t="str" cm="1">
        <f t="array" aca="1" ref="B1796" ca="1">"#define MPU_NS_SHARE_REG"&amp;A1768&amp;"  "&amp;(INDIRECT("CONFIG_NS!A"&amp;A1796)-1)</f>
        <v>#define MPU_NS_SHARE_REG15  0</v>
      </c>
    </row>
    <row r="1797" spans="1:2" x14ac:dyDescent="0.25">
      <c r="B1797" s="18" t="s">
        <v>62</v>
      </c>
    </row>
    <row r="1798" spans="1:2" x14ac:dyDescent="0.25">
      <c r="B1798" s="18" t="s">
        <v>75</v>
      </c>
    </row>
    <row r="1799" spans="1:2" x14ac:dyDescent="0.25">
      <c r="B1799" s="18" t="s">
        <v>76</v>
      </c>
    </row>
    <row r="1800" spans="1:2" x14ac:dyDescent="0.25">
      <c r="B1800" s="18" t="s">
        <v>77</v>
      </c>
    </row>
    <row r="1801" spans="1:2" x14ac:dyDescent="0.25">
      <c r="B1801" s="18" t="s">
        <v>78</v>
      </c>
    </row>
    <row r="1802" spans="1:2" x14ac:dyDescent="0.25">
      <c r="B1802" s="18" t="s">
        <v>79</v>
      </c>
    </row>
    <row r="1803" spans="1:2" x14ac:dyDescent="0.25">
      <c r="B1803" s="18" t="s">
        <v>80</v>
      </c>
    </row>
    <row r="1804" spans="1:2" x14ac:dyDescent="0.25">
      <c r="B1804" s="18" t="s">
        <v>81</v>
      </c>
    </row>
    <row r="1805" spans="1:2" x14ac:dyDescent="0.25">
      <c r="B1805" s="18" t="s">
        <v>82</v>
      </c>
    </row>
    <row r="1806" spans="1:2" x14ac:dyDescent="0.25">
      <c r="A1806">
        <f>A1769+8</f>
        <v>165</v>
      </c>
      <c r="B1806" s="18" t="str" cm="1">
        <f t="array" aca="1" ref="B1806" ca="1">"#define MPU_NS_ATTRIND"&amp;A1768&amp;"    "&amp;INDIRECT("CONFIG_NS!A"&amp;A1806)-1</f>
        <v>#define MPU_NS_ATTRIND15    0</v>
      </c>
    </row>
    <row r="1807" spans="1:2" x14ac:dyDescent="0.25">
      <c r="B1807" s="18" t="str">
        <f>"//   &lt;/e&gt;   //MPU_NS Region "&amp;A1768&amp;" ********************************"</f>
        <v>//   &lt;/e&gt;   //MPU_NS Region 15 ********************************</v>
      </c>
    </row>
    <row r="1808" spans="1:2" x14ac:dyDescent="0.25">
      <c r="B1808" s="18" t="s">
        <v>161</v>
      </c>
    </row>
    <row r="1809" spans="1:2" x14ac:dyDescent="0.25">
      <c r="B1809" s="18" t="s">
        <v>138</v>
      </c>
    </row>
    <row r="1810" spans="1:2" x14ac:dyDescent="0.25">
      <c r="B1810" s="18" t="s">
        <v>159</v>
      </c>
    </row>
    <row r="1811" spans="1:2" x14ac:dyDescent="0.25">
      <c r="A1811" s="27">
        <v>0</v>
      </c>
      <c r="B1811" s="18" t="str">
        <f>"// MPU_NS IDX "&amp;A1811&amp;" ********************************"</f>
        <v>// MPU_NS IDX 0 ********************************</v>
      </c>
    </row>
    <row r="1812" spans="1:2" x14ac:dyDescent="0.25">
      <c r="B1812" s="18" t="str">
        <f>"//   &lt;e&gt;Initialize MPU_NS Attr Idx "&amp;A1811</f>
        <v>//   &lt;e&gt;Initialize MPU_NS Attr Idx 0</v>
      </c>
    </row>
    <row r="1813" spans="1:2" x14ac:dyDescent="0.25">
      <c r="A1813" s="27">
        <v>168</v>
      </c>
      <c r="B1813" s="18" t="str">
        <f ca="1">"#define MPU_NS_INIT_IDX"&amp;A1811&amp;"   "&amp;N(INDIRECT("CONFIG_NS!A"&amp;A1813))</f>
        <v>#define MPU_NS_INIT_IDX0   1</v>
      </c>
    </row>
    <row r="1814" spans="1:2" x14ac:dyDescent="0.25">
      <c r="B1814" s="18" t="str">
        <f>"//   &lt;o&gt;Memory Access Type of Attr Idx "&amp;A1811</f>
        <v>//   &lt;o&gt;Memory Access Type of Attr Idx 0</v>
      </c>
    </row>
    <row r="1815" spans="1:2" x14ac:dyDescent="0.25">
      <c r="B1815" s="18" t="s">
        <v>113</v>
      </c>
    </row>
    <row r="1816" spans="1:2" x14ac:dyDescent="0.25">
      <c r="B1816" s="18" t="s">
        <v>114</v>
      </c>
    </row>
    <row r="1817" spans="1:2" x14ac:dyDescent="0.25">
      <c r="B1817" s="18" t="s">
        <v>115</v>
      </c>
    </row>
    <row r="1818" spans="1:2" x14ac:dyDescent="0.25">
      <c r="B1818" s="18" t="s">
        <v>116</v>
      </c>
    </row>
    <row r="1819" spans="1:2" x14ac:dyDescent="0.25">
      <c r="B1819" s="18" t="s">
        <v>117</v>
      </c>
    </row>
    <row r="1820" spans="1:2" x14ac:dyDescent="0.25">
      <c r="B1820" s="18" t="s">
        <v>118</v>
      </c>
    </row>
    <row r="1821" spans="1:2" x14ac:dyDescent="0.25">
      <c r="B1821" s="18" t="s">
        <v>119</v>
      </c>
    </row>
    <row r="1822" spans="1:2" x14ac:dyDescent="0.25">
      <c r="B1822" s="18" t="s">
        <v>120</v>
      </c>
    </row>
    <row r="1823" spans="1:2" x14ac:dyDescent="0.25">
      <c r="B1823" s="18" t="s">
        <v>121</v>
      </c>
    </row>
    <row r="1824" spans="1:2" x14ac:dyDescent="0.25">
      <c r="A1824">
        <f>A1813+2</f>
        <v>170</v>
      </c>
      <c r="B1824" s="18" t="str" cm="1">
        <f t="array" aca="1" ref="B1824" ca="1">"#define MPU_NS_TYPE_IDX"&amp;A1811&amp;"   "&amp;"0x"&amp;DEC2HEX(HEX2DEC(INDIRECT("CONFIG_NS!A"&amp;INDIRECT("CONFIG_NS!A"&amp;(A1824))+264)),2)</f>
        <v>#define MPU_NS_TYPE_IDX0   0xAA</v>
      </c>
    </row>
    <row r="1825" spans="1:2" x14ac:dyDescent="0.25">
      <c r="B1825" s="18" t="str">
        <f>"//   &lt;h&gt;if Type of Attr Idx "&amp;A1811&amp;" is NORMAL Memory"</f>
        <v>//   &lt;h&gt;if Type of Attr Idx 0 is NORMAL Memory</v>
      </c>
    </row>
    <row r="1826" spans="1:2" x14ac:dyDescent="0.25">
      <c r="B1826" s="18" t="s">
        <v>122</v>
      </c>
    </row>
    <row r="1827" spans="1:2" x14ac:dyDescent="0.25">
      <c r="B1827" s="18" t="s">
        <v>136</v>
      </c>
    </row>
    <row r="1828" spans="1:2" x14ac:dyDescent="0.25">
      <c r="B1828" s="18" t="s">
        <v>123</v>
      </c>
    </row>
    <row r="1829" spans="1:2" x14ac:dyDescent="0.25">
      <c r="B1829" s="18" t="s">
        <v>124</v>
      </c>
    </row>
    <row r="1830" spans="1:2" x14ac:dyDescent="0.25">
      <c r="B1830" s="18" t="s">
        <v>125</v>
      </c>
    </row>
    <row r="1831" spans="1:2" x14ac:dyDescent="0.25">
      <c r="B1831" s="18" t="s">
        <v>126</v>
      </c>
    </row>
    <row r="1832" spans="1:2" x14ac:dyDescent="0.25">
      <c r="A1832">
        <f>A1824+1</f>
        <v>171</v>
      </c>
      <c r="B1832" s="18" t="str" cm="1">
        <f t="array" aca="1" ref="B1832" ca="1">"#define MPU_NS_OC_POL_IDX"&amp;A1811&amp;" 0x"&amp;DEC2HEX(16*HEX2DEC(INDIRECT("CONFIG_NS!A"&amp;INDIRECT("CONFIG_NS!A"&amp;(A1832))+273)),2)</f>
        <v>#define MPU_NS_OC_POL_IDX0 0x80</v>
      </c>
    </row>
    <row r="1833" spans="1:2" x14ac:dyDescent="0.25">
      <c r="B1833" s="18" t="s">
        <v>127</v>
      </c>
    </row>
    <row r="1834" spans="1:2" x14ac:dyDescent="0.25">
      <c r="B1834" s="18" t="s">
        <v>137</v>
      </c>
    </row>
    <row r="1835" spans="1:2" x14ac:dyDescent="0.25">
      <c r="B1835" s="18" t="s">
        <v>128</v>
      </c>
    </row>
    <row r="1836" spans="1:2" x14ac:dyDescent="0.25">
      <c r="B1836" s="18" t="s">
        <v>129</v>
      </c>
    </row>
    <row r="1837" spans="1:2" x14ac:dyDescent="0.25">
      <c r="B1837" s="18" t="s">
        <v>130</v>
      </c>
    </row>
    <row r="1838" spans="1:2" x14ac:dyDescent="0.25">
      <c r="B1838" s="18" t="s">
        <v>131</v>
      </c>
    </row>
    <row r="1839" spans="1:2" x14ac:dyDescent="0.25">
      <c r="A1839">
        <f>A1832+3</f>
        <v>174</v>
      </c>
      <c r="B1839" s="18" t="str" cm="1">
        <f t="array" aca="1" ref="B1839" ca="1">"#define MPU_NS_IC_POL_IDX"&amp;A1811&amp;" 0x"&amp;DEC2HEX(HEX2DEC(INDIRECT("CONFIG_NS!A"&amp;INDIRECT("CONFIG_NS!A"&amp;(A1839))+273)),2)</f>
        <v>#define MPU_NS_IC_POL_IDX0 0x08</v>
      </c>
    </row>
    <row r="1840" spans="1:2" x14ac:dyDescent="0.25">
      <c r="B1840" s="18" t="s">
        <v>132</v>
      </c>
    </row>
    <row r="1841" spans="1:2" x14ac:dyDescent="0.25">
      <c r="B1841" s="18" t="s">
        <v>133</v>
      </c>
    </row>
    <row r="1842" spans="1:2" x14ac:dyDescent="0.25">
      <c r="A1842">
        <f>A1832+1</f>
        <v>172</v>
      </c>
      <c r="B1842" s="18" t="str" cm="1">
        <f t="array" aca="1" ref="B1842" ca="1">"#define MPU_NS_OC_RW_IDX"&amp;A1811&amp;"  0x"&amp;DEC2HEX((16*INDIRECT("CONFIG_NS!A"&amp;(A1842))+(32*INDIRECT("CONFIG_NS!A"&amp;(A1843)))),2)</f>
        <v>#define MPU_NS_OC_RW_IDX0  0x00</v>
      </c>
    </row>
    <row r="1843" spans="1:2" x14ac:dyDescent="0.25">
      <c r="A1843">
        <f>A1842+1</f>
        <v>173</v>
      </c>
      <c r="B1843" s="18" t="s">
        <v>134</v>
      </c>
    </row>
    <row r="1844" spans="1:2" x14ac:dyDescent="0.25">
      <c r="B1844" s="18" t="s">
        <v>135</v>
      </c>
    </row>
    <row r="1845" spans="1:2" x14ac:dyDescent="0.25">
      <c r="A1845">
        <f>A1839+1</f>
        <v>175</v>
      </c>
      <c r="B1845" s="18" t="str" cm="1">
        <f t="array" aca="1" ref="B1845" ca="1">"#define MPU_NS_IC_RW_IDX"&amp;A1811&amp;"  0x"&amp;DEC2HEX((1*INDIRECT("CONFIG_NS!A"&amp;(A1845))+(2*INDIRECT("CONFIG_NS!A"&amp;(A1846)))),2)</f>
        <v>#define MPU_NS_IC_RW_IDX0  0x00</v>
      </c>
    </row>
    <row r="1846" spans="1:2" x14ac:dyDescent="0.25">
      <c r="A1846">
        <f>A1845+1</f>
        <v>176</v>
      </c>
      <c r="B1846" s="18" t="str">
        <f>"//   &lt;/h&gt;   //if NORMAL Memory of IDX"&amp;A1811</f>
        <v>//   &lt;/h&gt;   //if NORMAL Memory of IDX0</v>
      </c>
    </row>
    <row r="1847" spans="1:2" x14ac:dyDescent="0.25">
      <c r="B1847" s="18" t="str">
        <f>"#if (MPU_NS_OC_POL_IDX"&amp;A1811&amp;" == 0x10)"</f>
        <v>#if (MPU_NS_OC_POL_IDX0 == 0x10)</v>
      </c>
    </row>
    <row r="1848" spans="1:2" x14ac:dyDescent="0.25">
      <c r="B1848" s="18" t="str">
        <f>"#define MPU_NS_OUTERCACHE_IDX"&amp;A1811&amp;"   0x40"</f>
        <v>#define MPU_NS_OUTERCACHE_IDX0   0x40</v>
      </c>
    </row>
    <row r="1849" spans="1:2" x14ac:dyDescent="0.25">
      <c r="B1849" s="18" t="s">
        <v>24</v>
      </c>
    </row>
    <row r="1850" spans="1:2" x14ac:dyDescent="0.25">
      <c r="B1850" s="18" t="str">
        <f>"#define MPU_NS_OUTERCACHE_IDX"&amp;A1811&amp;"   (MPU_NS_OC_POL_IDX"&amp;A1811&amp;" | MPU_NS_OC_RW_IDX"&amp;A1811&amp;")"</f>
        <v>#define MPU_NS_OUTERCACHE_IDX0   (MPU_NS_OC_POL_IDX0 | MPU_NS_OC_RW_IDX0)</v>
      </c>
    </row>
    <row r="1851" spans="1:2" x14ac:dyDescent="0.25">
      <c r="B1851" s="18" t="s">
        <v>25</v>
      </c>
    </row>
    <row r="1852" spans="1:2" x14ac:dyDescent="0.25">
      <c r="B1852" s="18" t="str">
        <f>"#if (MPU_NS_IC_POL_IDX"&amp;A1811&amp;" == 0x01)"</f>
        <v>#if (MPU_NS_IC_POL_IDX0 == 0x01)</v>
      </c>
    </row>
    <row r="1853" spans="1:2" x14ac:dyDescent="0.25">
      <c r="B1853" s="18" t="str">
        <f>"#define MPU_NS_INNERCACHE_IDX"&amp;A1811&amp;"   0x04"</f>
        <v>#define MPU_NS_INNERCACHE_IDX0   0x04</v>
      </c>
    </row>
    <row r="1854" spans="1:2" x14ac:dyDescent="0.25">
      <c r="B1854" s="18" t="s">
        <v>24</v>
      </c>
    </row>
    <row r="1855" spans="1:2" x14ac:dyDescent="0.25">
      <c r="B1855" s="18" t="str">
        <f>"#define MPU_NS_INNERCACHE_IDX"&amp;A1811&amp;"   (MPU_NS_IC_POL_IDX"&amp;A1811&amp;" | MPU_NS_IC_RW_IDX"&amp;A1811&amp;")"</f>
        <v>#define MPU_NS_INNERCACHE_IDX0   (MPU_NS_IC_POL_IDX0 | MPU_NS_IC_RW_IDX0)</v>
      </c>
    </row>
    <row r="1856" spans="1:2" x14ac:dyDescent="0.25">
      <c r="B1856" s="18" t="s">
        <v>25</v>
      </c>
    </row>
    <row r="1857" spans="1:2" x14ac:dyDescent="0.25">
      <c r="B1857" s="18" t="str">
        <f>"#if (MPU_NS_TYPE_IDX"&amp;A1811&amp;" == 0x01)"</f>
        <v>#if (MPU_NS_TYPE_IDX0 == 0x01)</v>
      </c>
    </row>
    <row r="1858" spans="1:2" x14ac:dyDescent="0.25">
      <c r="B1858" s="18" t="str">
        <f>"#define MPU_NS_VAL_IDX"&amp;A1811&amp;"   (MPU_NS_OUTERCACHE_IDX"&amp;A1811&amp;" | MPU_NS_INNERCACHE_IDX"&amp;A1811&amp;")"</f>
        <v>#define MPU_NS_VAL_IDX0   (MPU_NS_OUTERCACHE_IDX0 | MPU_NS_INNERCACHE_IDX0)</v>
      </c>
    </row>
    <row r="1859" spans="1:2" x14ac:dyDescent="0.25">
      <c r="B1859" s="18" t="s">
        <v>24</v>
      </c>
    </row>
    <row r="1860" spans="1:2" x14ac:dyDescent="0.25">
      <c r="B1860" s="18" t="str">
        <f>"#define MPU_NS_VAL_IDX"&amp;A1811&amp;"   MPU_NS_TYPE_IDX"&amp;A1811&amp;""</f>
        <v>#define MPU_NS_VAL_IDX0   MPU_NS_TYPE_IDX0</v>
      </c>
    </row>
    <row r="1861" spans="1:2" x14ac:dyDescent="0.25">
      <c r="B1861" s="18" t="s">
        <v>25</v>
      </c>
    </row>
    <row r="1862" spans="1:2" x14ac:dyDescent="0.25">
      <c r="B1862" s="18" t="str">
        <f>"//   &lt;/e&gt;   //MPU_NS Attr Idx "&amp;A1811</f>
        <v>//   &lt;/e&gt;   //MPU_NS Attr Idx 0</v>
      </c>
    </row>
    <row r="1863" spans="1:2" x14ac:dyDescent="0.25">
      <c r="A1863" s="27">
        <f>A1811+1</f>
        <v>1</v>
      </c>
      <c r="B1863" s="18" t="str">
        <f>"// MPU_NS IDX "&amp;A1863&amp;" ********************************"</f>
        <v>// MPU_NS IDX 1 ********************************</v>
      </c>
    </row>
    <row r="1864" spans="1:2" x14ac:dyDescent="0.25">
      <c r="B1864" s="18" t="str">
        <f>"//   &lt;e&gt;Initialize MPU_NS Attr Idx "&amp;A1863</f>
        <v>//   &lt;e&gt;Initialize MPU_NS Attr Idx 1</v>
      </c>
    </row>
    <row r="1865" spans="1:2" x14ac:dyDescent="0.25">
      <c r="A1865" s="27">
        <f>A1813+10</f>
        <v>178</v>
      </c>
      <c r="B1865" s="18" t="str">
        <f ca="1">"#define MPU_NS_INIT_IDX"&amp;A1863&amp;"   "&amp;N(INDIRECT("CONFIG_NS!A"&amp;A1865))</f>
        <v>#define MPU_NS_INIT_IDX1   0</v>
      </c>
    </row>
    <row r="1866" spans="1:2" x14ac:dyDescent="0.25">
      <c r="B1866" s="18" t="str">
        <f>"//   &lt;o&gt;Memory Access Type of Attr Idx "&amp;A1863</f>
        <v>//   &lt;o&gt;Memory Access Type of Attr Idx 1</v>
      </c>
    </row>
    <row r="1867" spans="1:2" x14ac:dyDescent="0.25">
      <c r="B1867" s="18" t="s">
        <v>113</v>
      </c>
    </row>
    <row r="1868" spans="1:2" x14ac:dyDescent="0.25">
      <c r="B1868" s="18" t="s">
        <v>114</v>
      </c>
    </row>
    <row r="1869" spans="1:2" x14ac:dyDescent="0.25">
      <c r="B1869" s="18" t="s">
        <v>115</v>
      </c>
    </row>
    <row r="1870" spans="1:2" x14ac:dyDescent="0.25">
      <c r="B1870" s="18" t="s">
        <v>116</v>
      </c>
    </row>
    <row r="1871" spans="1:2" x14ac:dyDescent="0.25">
      <c r="B1871" s="18" t="s">
        <v>117</v>
      </c>
    </row>
    <row r="1872" spans="1:2" x14ac:dyDescent="0.25">
      <c r="B1872" s="18" t="s">
        <v>118</v>
      </c>
    </row>
    <row r="1873" spans="1:2" x14ac:dyDescent="0.25">
      <c r="B1873" s="18" t="s">
        <v>119</v>
      </c>
    </row>
    <row r="1874" spans="1:2" x14ac:dyDescent="0.25">
      <c r="B1874" s="18" t="s">
        <v>120</v>
      </c>
    </row>
    <row r="1875" spans="1:2" x14ac:dyDescent="0.25">
      <c r="B1875" s="18" t="s">
        <v>121</v>
      </c>
    </row>
    <row r="1876" spans="1:2" x14ac:dyDescent="0.25">
      <c r="A1876">
        <f>A1865+2</f>
        <v>180</v>
      </c>
      <c r="B1876" s="18" t="str" cm="1">
        <f t="array" aca="1" ref="B1876" ca="1">"#define MPU_NS_TYPE_IDX"&amp;A1863&amp;"   "&amp;"0x"&amp;DEC2HEX(HEX2DEC(INDIRECT("CONFIG_NS!A"&amp;INDIRECT("CONFIG_NS!A"&amp;(A1876))+264)),2)</f>
        <v>#define MPU_NS_TYPE_IDX1   0xAA</v>
      </c>
    </row>
    <row r="1877" spans="1:2" x14ac:dyDescent="0.25">
      <c r="B1877" s="18" t="str">
        <f>"//   &lt;h&gt;if Type of Attr Idx "&amp;A1863&amp;" is NORMAL Memory"</f>
        <v>//   &lt;h&gt;if Type of Attr Idx 1 is NORMAL Memory</v>
      </c>
    </row>
    <row r="1878" spans="1:2" x14ac:dyDescent="0.25">
      <c r="B1878" s="18" t="s">
        <v>122</v>
      </c>
    </row>
    <row r="1879" spans="1:2" x14ac:dyDescent="0.25">
      <c r="B1879" s="18" t="s">
        <v>136</v>
      </c>
    </row>
    <row r="1880" spans="1:2" x14ac:dyDescent="0.25">
      <c r="B1880" s="18" t="s">
        <v>123</v>
      </c>
    </row>
    <row r="1881" spans="1:2" x14ac:dyDescent="0.25">
      <c r="B1881" s="18" t="s">
        <v>124</v>
      </c>
    </row>
    <row r="1882" spans="1:2" x14ac:dyDescent="0.25">
      <c r="B1882" s="18" t="s">
        <v>125</v>
      </c>
    </row>
    <row r="1883" spans="1:2" x14ac:dyDescent="0.25">
      <c r="B1883" s="18" t="s">
        <v>126</v>
      </c>
    </row>
    <row r="1884" spans="1:2" x14ac:dyDescent="0.25">
      <c r="A1884">
        <f>A1876+1</f>
        <v>181</v>
      </c>
      <c r="B1884" s="18" t="str" cm="1">
        <f t="array" aca="1" ref="B1884" ca="1">"#define MPU_NS_OC_POL_IDX"&amp;A1863&amp;" 0x"&amp;DEC2HEX(16*HEX2DEC(INDIRECT("CONFIG_NS!A"&amp;INDIRECT("CONFIG_NS!A"&amp;(A1884))+273)),2)</f>
        <v>#define MPU_NS_OC_POL_IDX1 0x10</v>
      </c>
    </row>
    <row r="1885" spans="1:2" x14ac:dyDescent="0.25">
      <c r="B1885" s="18" t="s">
        <v>127</v>
      </c>
    </row>
    <row r="1886" spans="1:2" x14ac:dyDescent="0.25">
      <c r="B1886" s="18" t="s">
        <v>137</v>
      </c>
    </row>
    <row r="1887" spans="1:2" x14ac:dyDescent="0.25">
      <c r="B1887" s="18" t="s">
        <v>128</v>
      </c>
    </row>
    <row r="1888" spans="1:2" x14ac:dyDescent="0.25">
      <c r="B1888" s="18" t="s">
        <v>129</v>
      </c>
    </row>
    <row r="1889" spans="1:2" x14ac:dyDescent="0.25">
      <c r="B1889" s="18" t="s">
        <v>130</v>
      </c>
    </row>
    <row r="1890" spans="1:2" x14ac:dyDescent="0.25">
      <c r="B1890" s="18" t="s">
        <v>131</v>
      </c>
    </row>
    <row r="1891" spans="1:2" x14ac:dyDescent="0.25">
      <c r="A1891">
        <f>A1884+3</f>
        <v>184</v>
      </c>
      <c r="B1891" s="18" t="str" cm="1">
        <f t="array" aca="1" ref="B1891" ca="1">"#define MPU_NS_IC_POL_IDX"&amp;A1863&amp;" 0x"&amp;DEC2HEX(HEX2DEC(INDIRECT("CONFIG_NS!A"&amp;INDIRECT("CONFIG_NS!A"&amp;(A1891))+273)),2)</f>
        <v>#define MPU_NS_IC_POL_IDX1 0x01</v>
      </c>
    </row>
    <row r="1892" spans="1:2" x14ac:dyDescent="0.25">
      <c r="B1892" s="18" t="s">
        <v>132</v>
      </c>
    </row>
    <row r="1893" spans="1:2" x14ac:dyDescent="0.25">
      <c r="B1893" s="18" t="s">
        <v>133</v>
      </c>
    </row>
    <row r="1894" spans="1:2" x14ac:dyDescent="0.25">
      <c r="A1894">
        <f>A1884+1</f>
        <v>182</v>
      </c>
      <c r="B1894" s="18" t="str" cm="1">
        <f t="array" aca="1" ref="B1894" ca="1">"#define MPU_NS_OC_RW_IDX"&amp;A1863&amp;"  0x"&amp;DEC2HEX((16*INDIRECT("CONFIG_NS!A"&amp;(A1894))+(32*INDIRECT("CONFIG_NS!A"&amp;(A1895)))),2)</f>
        <v>#define MPU_NS_OC_RW_IDX1  0x00</v>
      </c>
    </row>
    <row r="1895" spans="1:2" x14ac:dyDescent="0.25">
      <c r="A1895">
        <f>A1894+1</f>
        <v>183</v>
      </c>
      <c r="B1895" s="18" t="s">
        <v>134</v>
      </c>
    </row>
    <row r="1896" spans="1:2" x14ac:dyDescent="0.25">
      <c r="B1896" s="18" t="s">
        <v>135</v>
      </c>
    </row>
    <row r="1897" spans="1:2" x14ac:dyDescent="0.25">
      <c r="A1897">
        <f>A1891+1</f>
        <v>185</v>
      </c>
      <c r="B1897" s="18" t="str" cm="1">
        <f t="array" aca="1" ref="B1897" ca="1">"#define MPU_NS_IC_RW_IDX"&amp;A1863&amp;"  0x"&amp;DEC2HEX((1*INDIRECT("CONFIG_NS!A"&amp;(A1897))+(2*INDIRECT("CONFIG_NS!A"&amp;(A1898)))),2)</f>
        <v>#define MPU_NS_IC_RW_IDX1  0x00</v>
      </c>
    </row>
    <row r="1898" spans="1:2" x14ac:dyDescent="0.25">
      <c r="A1898">
        <f>A1897+1</f>
        <v>186</v>
      </c>
      <c r="B1898" s="18" t="str">
        <f>"//   &lt;/h&gt;   //if NORMAL Memory of IDX"&amp;A1863</f>
        <v>//   &lt;/h&gt;   //if NORMAL Memory of IDX1</v>
      </c>
    </row>
    <row r="1899" spans="1:2" x14ac:dyDescent="0.25">
      <c r="B1899" s="18" t="str">
        <f>"#if (MPU_NS_OC_POL_IDX"&amp;A1863&amp;" == 0x10)"</f>
        <v>#if (MPU_NS_OC_POL_IDX1 == 0x10)</v>
      </c>
    </row>
    <row r="1900" spans="1:2" x14ac:dyDescent="0.25">
      <c r="B1900" s="18" t="str">
        <f>"#define MPU_NS_OUTERCACHE_IDX"&amp;A1863&amp;"   0x40"</f>
        <v>#define MPU_NS_OUTERCACHE_IDX1   0x40</v>
      </c>
    </row>
    <row r="1901" spans="1:2" x14ac:dyDescent="0.25">
      <c r="B1901" s="18" t="s">
        <v>24</v>
      </c>
    </row>
    <row r="1902" spans="1:2" x14ac:dyDescent="0.25">
      <c r="B1902" s="18" t="str">
        <f>"#define MPU_NS_OUTERCACHE_IDX"&amp;A1863&amp;"   (MPU_NS_OC_POL_IDX"&amp;A1863&amp;" | MPU_NS_OC_RW_IDX"&amp;A1863&amp;")"</f>
        <v>#define MPU_NS_OUTERCACHE_IDX1   (MPU_NS_OC_POL_IDX1 | MPU_NS_OC_RW_IDX1)</v>
      </c>
    </row>
    <row r="1903" spans="1:2" x14ac:dyDescent="0.25">
      <c r="B1903" s="18" t="s">
        <v>25</v>
      </c>
    </row>
    <row r="1904" spans="1:2" x14ac:dyDescent="0.25">
      <c r="B1904" s="18" t="str">
        <f>"#if (MPU_NS_IC_POL_IDX"&amp;A1863&amp;" == 0x01)"</f>
        <v>#if (MPU_NS_IC_POL_IDX1 == 0x01)</v>
      </c>
    </row>
    <row r="1905" spans="1:2" x14ac:dyDescent="0.25">
      <c r="B1905" s="18" t="str">
        <f>"#define MPU_NS_INNERCACHE_IDX"&amp;A1863&amp;"   0x04"</f>
        <v>#define MPU_NS_INNERCACHE_IDX1   0x04</v>
      </c>
    </row>
    <row r="1906" spans="1:2" x14ac:dyDescent="0.25">
      <c r="B1906" s="18" t="s">
        <v>24</v>
      </c>
    </row>
    <row r="1907" spans="1:2" x14ac:dyDescent="0.25">
      <c r="B1907" s="18" t="str">
        <f>"#define MPU_NS_INNERCACHE_IDX"&amp;A1863&amp;"   (MPU_NS_IC_POL_IDX"&amp;A1863&amp;" | MPU_NS_IC_RW_IDX"&amp;A1863&amp;")"</f>
        <v>#define MPU_NS_INNERCACHE_IDX1   (MPU_NS_IC_POL_IDX1 | MPU_NS_IC_RW_IDX1)</v>
      </c>
    </row>
    <row r="1908" spans="1:2" x14ac:dyDescent="0.25">
      <c r="B1908" s="18" t="s">
        <v>25</v>
      </c>
    </row>
    <row r="1909" spans="1:2" x14ac:dyDescent="0.25">
      <c r="B1909" s="18" t="str">
        <f>"#if (MPU_NS_TYPE_IDX"&amp;A1863&amp;" == 0x01)"</f>
        <v>#if (MPU_NS_TYPE_IDX1 == 0x01)</v>
      </c>
    </row>
    <row r="1910" spans="1:2" x14ac:dyDescent="0.25">
      <c r="B1910" s="18" t="str">
        <f>"#define MPU_NS_VAL_IDX"&amp;A1863&amp;"   (MPU_NS_OUTERCACHE_IDX"&amp;A1863&amp;" | MPU_NS_INNERCACHE_IDX"&amp;A1863&amp;")"</f>
        <v>#define MPU_NS_VAL_IDX1   (MPU_NS_OUTERCACHE_IDX1 | MPU_NS_INNERCACHE_IDX1)</v>
      </c>
    </row>
    <row r="1911" spans="1:2" x14ac:dyDescent="0.25">
      <c r="B1911" s="18" t="s">
        <v>24</v>
      </c>
    </row>
    <row r="1912" spans="1:2" x14ac:dyDescent="0.25">
      <c r="B1912" s="18" t="str">
        <f>"#define MPU_NS_VAL_IDX"&amp;A1863&amp;"   MPU_NS_TYPE_IDX"&amp;A1863&amp;""</f>
        <v>#define MPU_NS_VAL_IDX1   MPU_NS_TYPE_IDX1</v>
      </c>
    </row>
    <row r="1913" spans="1:2" x14ac:dyDescent="0.25">
      <c r="B1913" s="18" t="s">
        <v>25</v>
      </c>
    </row>
    <row r="1914" spans="1:2" x14ac:dyDescent="0.25">
      <c r="B1914" s="18" t="str">
        <f>"//   &lt;/e&gt;   //MPU_NS Attr Idx "&amp;A1863</f>
        <v>//   &lt;/e&gt;   //MPU_NS Attr Idx 1</v>
      </c>
    </row>
    <row r="1915" spans="1:2" x14ac:dyDescent="0.25">
      <c r="A1915" s="27">
        <f>A1863+1</f>
        <v>2</v>
      </c>
      <c r="B1915" s="18" t="str">
        <f>"// MPU_NS IDX "&amp;A1915&amp;" ********************************"</f>
        <v>// MPU_NS IDX 2 ********************************</v>
      </c>
    </row>
    <row r="1916" spans="1:2" x14ac:dyDescent="0.25">
      <c r="B1916" s="18" t="str">
        <f>"//   &lt;e&gt;Initialize MPU_NS Attr Idx "&amp;A1915</f>
        <v>//   &lt;e&gt;Initialize MPU_NS Attr Idx 2</v>
      </c>
    </row>
    <row r="1917" spans="1:2" x14ac:dyDescent="0.25">
      <c r="A1917" s="27">
        <f>A1865+10</f>
        <v>188</v>
      </c>
      <c r="B1917" s="18" t="str">
        <f ca="1">"#define MPU_NS_INIT_IDX"&amp;A1915&amp;"   "&amp;N(INDIRECT("CONFIG_NS!A"&amp;A1917))</f>
        <v>#define MPU_NS_INIT_IDX2   0</v>
      </c>
    </row>
    <row r="1918" spans="1:2" x14ac:dyDescent="0.25">
      <c r="B1918" s="18" t="str">
        <f>"//   &lt;o&gt;Memory Access Type of Attr Idx "&amp;A1915</f>
        <v>//   &lt;o&gt;Memory Access Type of Attr Idx 2</v>
      </c>
    </row>
    <row r="1919" spans="1:2" x14ac:dyDescent="0.25">
      <c r="B1919" s="18" t="s">
        <v>113</v>
      </c>
    </row>
    <row r="1920" spans="1:2" x14ac:dyDescent="0.25">
      <c r="B1920" s="18" t="s">
        <v>114</v>
      </c>
    </row>
    <row r="1921" spans="1:2" x14ac:dyDescent="0.25">
      <c r="B1921" s="18" t="s">
        <v>115</v>
      </c>
    </row>
    <row r="1922" spans="1:2" x14ac:dyDescent="0.25">
      <c r="B1922" s="18" t="s">
        <v>116</v>
      </c>
    </row>
    <row r="1923" spans="1:2" x14ac:dyDescent="0.25">
      <c r="B1923" s="18" t="s">
        <v>117</v>
      </c>
    </row>
    <row r="1924" spans="1:2" x14ac:dyDescent="0.25">
      <c r="B1924" s="18" t="s">
        <v>118</v>
      </c>
    </row>
    <row r="1925" spans="1:2" x14ac:dyDescent="0.25">
      <c r="B1925" s="18" t="s">
        <v>119</v>
      </c>
    </row>
    <row r="1926" spans="1:2" x14ac:dyDescent="0.25">
      <c r="B1926" s="18" t="s">
        <v>120</v>
      </c>
    </row>
    <row r="1927" spans="1:2" x14ac:dyDescent="0.25">
      <c r="B1927" s="18" t="s">
        <v>121</v>
      </c>
    </row>
    <row r="1928" spans="1:2" x14ac:dyDescent="0.25">
      <c r="A1928">
        <f>A1917+2</f>
        <v>190</v>
      </c>
      <c r="B1928" s="18" t="str" cm="1">
        <f t="array" aca="1" ref="B1928" ca="1">"#define MPU_NS_TYPE_IDX"&amp;A1915&amp;"   "&amp;"0x"&amp;DEC2HEX(HEX2DEC(INDIRECT("CONFIG_NS!A"&amp;INDIRECT("CONFIG_NS!A"&amp;(A1928))+264)),2)</f>
        <v>#define MPU_NS_TYPE_IDX2   0x00</v>
      </c>
    </row>
    <row r="1929" spans="1:2" x14ac:dyDescent="0.25">
      <c r="B1929" s="18" t="str">
        <f>"//   &lt;h&gt;if Type of Attr Idx "&amp;A1915&amp;" is NORMAL Memory"</f>
        <v>//   &lt;h&gt;if Type of Attr Idx 2 is NORMAL Memory</v>
      </c>
    </row>
    <row r="1930" spans="1:2" x14ac:dyDescent="0.25">
      <c r="B1930" s="18" t="s">
        <v>122</v>
      </c>
    </row>
    <row r="1931" spans="1:2" x14ac:dyDescent="0.25">
      <c r="B1931" s="18" t="s">
        <v>136</v>
      </c>
    </row>
    <row r="1932" spans="1:2" x14ac:dyDescent="0.25">
      <c r="B1932" s="18" t="s">
        <v>123</v>
      </c>
    </row>
    <row r="1933" spans="1:2" x14ac:dyDescent="0.25">
      <c r="B1933" s="18" t="s">
        <v>124</v>
      </c>
    </row>
    <row r="1934" spans="1:2" x14ac:dyDescent="0.25">
      <c r="B1934" s="18" t="s">
        <v>125</v>
      </c>
    </row>
    <row r="1935" spans="1:2" x14ac:dyDescent="0.25">
      <c r="B1935" s="18" t="s">
        <v>126</v>
      </c>
    </row>
    <row r="1936" spans="1:2" x14ac:dyDescent="0.25">
      <c r="A1936">
        <f>A1928+1</f>
        <v>191</v>
      </c>
      <c r="B1936" s="18" t="str" cm="1">
        <f t="array" aca="1" ref="B1936" ca="1">"#define MPU_NS_OC_POL_IDX"&amp;A1915&amp;" 0x"&amp;DEC2HEX(16*HEX2DEC(INDIRECT("CONFIG_NS!A"&amp;INDIRECT("CONFIG_NS!A"&amp;(A1936))+273)),2)</f>
        <v>#define MPU_NS_OC_POL_IDX2 0x10</v>
      </c>
    </row>
    <row r="1937" spans="1:2" x14ac:dyDescent="0.25">
      <c r="B1937" s="18" t="s">
        <v>127</v>
      </c>
    </row>
    <row r="1938" spans="1:2" x14ac:dyDescent="0.25">
      <c r="B1938" s="18" t="s">
        <v>137</v>
      </c>
    </row>
    <row r="1939" spans="1:2" x14ac:dyDescent="0.25">
      <c r="B1939" s="18" t="s">
        <v>128</v>
      </c>
    </row>
    <row r="1940" spans="1:2" x14ac:dyDescent="0.25">
      <c r="B1940" s="18" t="s">
        <v>129</v>
      </c>
    </row>
    <row r="1941" spans="1:2" x14ac:dyDescent="0.25">
      <c r="B1941" s="18" t="s">
        <v>130</v>
      </c>
    </row>
    <row r="1942" spans="1:2" x14ac:dyDescent="0.25">
      <c r="B1942" s="18" t="s">
        <v>131</v>
      </c>
    </row>
    <row r="1943" spans="1:2" x14ac:dyDescent="0.25">
      <c r="A1943">
        <f>A1936+3</f>
        <v>194</v>
      </c>
      <c r="B1943" s="18" t="str" cm="1">
        <f t="array" aca="1" ref="B1943" ca="1">"#define MPU_NS_IC_POL_IDX"&amp;A1915&amp;" 0x"&amp;DEC2HEX(HEX2DEC(INDIRECT("CONFIG_NS!A"&amp;INDIRECT("CONFIG_NS!A"&amp;(A1943))+273)),2)</f>
        <v>#define MPU_NS_IC_POL_IDX2 0x01</v>
      </c>
    </row>
    <row r="1944" spans="1:2" x14ac:dyDescent="0.25">
      <c r="B1944" s="18" t="s">
        <v>132</v>
      </c>
    </row>
    <row r="1945" spans="1:2" x14ac:dyDescent="0.25">
      <c r="B1945" s="18" t="s">
        <v>133</v>
      </c>
    </row>
    <row r="1946" spans="1:2" x14ac:dyDescent="0.25">
      <c r="A1946">
        <f>A1936+1</f>
        <v>192</v>
      </c>
      <c r="B1946" s="18" t="str" cm="1">
        <f t="array" aca="1" ref="B1946" ca="1">"#define MPU_NS_OC_RW_IDX"&amp;A1915&amp;"  0x"&amp;DEC2HEX((16*INDIRECT("CONFIG_NS!A"&amp;(A1946))+(32*INDIRECT("CONFIG_NS!A"&amp;(A1947)))),2)</f>
        <v>#define MPU_NS_OC_RW_IDX2  0x00</v>
      </c>
    </row>
    <row r="1947" spans="1:2" x14ac:dyDescent="0.25">
      <c r="A1947">
        <f>A1946+1</f>
        <v>193</v>
      </c>
      <c r="B1947" s="18" t="s">
        <v>134</v>
      </c>
    </row>
    <row r="1948" spans="1:2" x14ac:dyDescent="0.25">
      <c r="B1948" s="18" t="s">
        <v>135</v>
      </c>
    </row>
    <row r="1949" spans="1:2" x14ac:dyDescent="0.25">
      <c r="A1949">
        <f>A1943+1</f>
        <v>195</v>
      </c>
      <c r="B1949" s="18" t="str" cm="1">
        <f t="array" aca="1" ref="B1949" ca="1">"#define MPU_NS_IC_RW_IDX"&amp;A1915&amp;"  0x"&amp;DEC2HEX((1*INDIRECT("CONFIG_NS!A"&amp;(A1949))+(2*INDIRECT("CONFIG_NS!A"&amp;(A1950)))),2)</f>
        <v>#define MPU_NS_IC_RW_IDX2  0x00</v>
      </c>
    </row>
    <row r="1950" spans="1:2" x14ac:dyDescent="0.25">
      <c r="A1950">
        <f>A1949+1</f>
        <v>196</v>
      </c>
      <c r="B1950" s="18" t="str">
        <f>"//   &lt;/h&gt;   //if NORMAL Memory of IDX"&amp;A1915</f>
        <v>//   &lt;/h&gt;   //if NORMAL Memory of IDX2</v>
      </c>
    </row>
    <row r="1951" spans="1:2" x14ac:dyDescent="0.25">
      <c r="B1951" s="18" t="str">
        <f>"#if (MPU_NS_OC_POL_IDX"&amp;A1915&amp;" == 0x10)"</f>
        <v>#if (MPU_NS_OC_POL_IDX2 == 0x10)</v>
      </c>
    </row>
    <row r="1952" spans="1:2" x14ac:dyDescent="0.25">
      <c r="B1952" s="18" t="str">
        <f>"#define MPU_NS_OUTERCACHE_IDX"&amp;A1915&amp;"   0x40"</f>
        <v>#define MPU_NS_OUTERCACHE_IDX2   0x40</v>
      </c>
    </row>
    <row r="1953" spans="1:2" x14ac:dyDescent="0.25">
      <c r="B1953" s="18" t="s">
        <v>24</v>
      </c>
    </row>
    <row r="1954" spans="1:2" x14ac:dyDescent="0.25">
      <c r="B1954" s="18" t="str">
        <f>"#define MPU_NS_OUTERCACHE_IDX"&amp;A1915&amp;"   (MPU_NS_OC_POL_IDX"&amp;A1915&amp;" | MPU_NS_OC_RW_IDX"&amp;A1915&amp;")"</f>
        <v>#define MPU_NS_OUTERCACHE_IDX2   (MPU_NS_OC_POL_IDX2 | MPU_NS_OC_RW_IDX2)</v>
      </c>
    </row>
    <row r="1955" spans="1:2" x14ac:dyDescent="0.25">
      <c r="B1955" s="18" t="s">
        <v>25</v>
      </c>
    </row>
    <row r="1956" spans="1:2" x14ac:dyDescent="0.25">
      <c r="B1956" s="18" t="str">
        <f>"#if (MPU_NS_IC_POL_IDX"&amp;A1915&amp;" == 0x01)"</f>
        <v>#if (MPU_NS_IC_POL_IDX2 == 0x01)</v>
      </c>
    </row>
    <row r="1957" spans="1:2" x14ac:dyDescent="0.25">
      <c r="B1957" s="18" t="str">
        <f>"#define MPU_NS_INNERCACHE_IDX"&amp;A1915&amp;"   0x04"</f>
        <v>#define MPU_NS_INNERCACHE_IDX2   0x04</v>
      </c>
    </row>
    <row r="1958" spans="1:2" x14ac:dyDescent="0.25">
      <c r="B1958" s="18" t="s">
        <v>24</v>
      </c>
    </row>
    <row r="1959" spans="1:2" x14ac:dyDescent="0.25">
      <c r="B1959" s="18" t="str">
        <f>"#define MPU_NS_INNERCACHE_IDX"&amp;A1915&amp;"   (MPU_NS_IC_POL_IDX"&amp;A1915&amp;" | MPU_NS_IC_RW_IDX"&amp;A1915&amp;")"</f>
        <v>#define MPU_NS_INNERCACHE_IDX2   (MPU_NS_IC_POL_IDX2 | MPU_NS_IC_RW_IDX2)</v>
      </c>
    </row>
    <row r="1960" spans="1:2" x14ac:dyDescent="0.25">
      <c r="B1960" s="18" t="s">
        <v>25</v>
      </c>
    </row>
    <row r="1961" spans="1:2" x14ac:dyDescent="0.25">
      <c r="B1961" s="18" t="str">
        <f>"#if (MPU_NS_TYPE_IDX"&amp;A1915&amp;" == 0x01)"</f>
        <v>#if (MPU_NS_TYPE_IDX2 == 0x01)</v>
      </c>
    </row>
    <row r="1962" spans="1:2" x14ac:dyDescent="0.25">
      <c r="B1962" s="18" t="str">
        <f>"#define MPU_NS_VAL_IDX"&amp;A1915&amp;"   (MPU_NS_OUTERCACHE_IDX"&amp;A1915&amp;" | MPU_NS_INNERCACHE_IDX"&amp;A1915&amp;")"</f>
        <v>#define MPU_NS_VAL_IDX2   (MPU_NS_OUTERCACHE_IDX2 | MPU_NS_INNERCACHE_IDX2)</v>
      </c>
    </row>
    <row r="1963" spans="1:2" x14ac:dyDescent="0.25">
      <c r="B1963" s="18" t="s">
        <v>24</v>
      </c>
    </row>
    <row r="1964" spans="1:2" x14ac:dyDescent="0.25">
      <c r="B1964" s="18" t="str">
        <f>"#define MPU_NS_VAL_IDX"&amp;A1915&amp;"   MPU_NS_TYPE_IDX"&amp;A1915&amp;""</f>
        <v>#define MPU_NS_VAL_IDX2   MPU_NS_TYPE_IDX2</v>
      </c>
    </row>
    <row r="1965" spans="1:2" x14ac:dyDescent="0.25">
      <c r="B1965" s="18" t="s">
        <v>25</v>
      </c>
    </row>
    <row r="1966" spans="1:2" x14ac:dyDescent="0.25">
      <c r="B1966" s="18" t="str">
        <f>"//   &lt;/e&gt;   //MPU_NS Attr Idx "&amp;A1915</f>
        <v>//   &lt;/e&gt;   //MPU_NS Attr Idx 2</v>
      </c>
    </row>
    <row r="1967" spans="1:2" x14ac:dyDescent="0.25">
      <c r="A1967" s="27">
        <f>A1915+1</f>
        <v>3</v>
      </c>
      <c r="B1967" s="18" t="str">
        <f>"// MPU_NS IDX "&amp;A1967&amp;" ********************************"</f>
        <v>// MPU_NS IDX 3 ********************************</v>
      </c>
    </row>
    <row r="1968" spans="1:2" x14ac:dyDescent="0.25">
      <c r="B1968" s="18" t="str">
        <f>"//   &lt;e&gt;Initialize MPU_NS Attr Idx "&amp;A1967</f>
        <v>//   &lt;e&gt;Initialize MPU_NS Attr Idx 3</v>
      </c>
    </row>
    <row r="1969" spans="1:2" x14ac:dyDescent="0.25">
      <c r="A1969" s="27">
        <f>A1917+10</f>
        <v>198</v>
      </c>
      <c r="B1969" s="18" t="str">
        <f ca="1">"#define MPU_NS_INIT_IDX"&amp;A1967&amp;"   "&amp;N(INDIRECT("CONFIG_NS!A"&amp;A1969))</f>
        <v>#define MPU_NS_INIT_IDX3   0</v>
      </c>
    </row>
    <row r="1970" spans="1:2" x14ac:dyDescent="0.25">
      <c r="B1970" s="18" t="str">
        <f>"//   &lt;o&gt;Memory Access Type of Attr Idx "&amp;A1967</f>
        <v>//   &lt;o&gt;Memory Access Type of Attr Idx 3</v>
      </c>
    </row>
    <row r="1971" spans="1:2" x14ac:dyDescent="0.25">
      <c r="B1971" s="18" t="s">
        <v>113</v>
      </c>
    </row>
    <row r="1972" spans="1:2" x14ac:dyDescent="0.25">
      <c r="B1972" s="18" t="s">
        <v>114</v>
      </c>
    </row>
    <row r="1973" spans="1:2" x14ac:dyDescent="0.25">
      <c r="B1973" s="18" t="s">
        <v>115</v>
      </c>
    </row>
    <row r="1974" spans="1:2" x14ac:dyDescent="0.25">
      <c r="B1974" s="18" t="s">
        <v>116</v>
      </c>
    </row>
    <row r="1975" spans="1:2" x14ac:dyDescent="0.25">
      <c r="B1975" s="18" t="s">
        <v>117</v>
      </c>
    </row>
    <row r="1976" spans="1:2" x14ac:dyDescent="0.25">
      <c r="B1976" s="18" t="s">
        <v>118</v>
      </c>
    </row>
    <row r="1977" spans="1:2" x14ac:dyDescent="0.25">
      <c r="B1977" s="18" t="s">
        <v>119</v>
      </c>
    </row>
    <row r="1978" spans="1:2" x14ac:dyDescent="0.25">
      <c r="B1978" s="18" t="s">
        <v>120</v>
      </c>
    </row>
    <row r="1979" spans="1:2" x14ac:dyDescent="0.25">
      <c r="B1979" s="18" t="s">
        <v>121</v>
      </c>
    </row>
    <row r="1980" spans="1:2" x14ac:dyDescent="0.25">
      <c r="A1980">
        <f>A1969+2</f>
        <v>200</v>
      </c>
      <c r="B1980" s="18" t="str" cm="1">
        <f t="array" aca="1" ref="B1980" ca="1">"#define MPU_NS_TYPE_IDX"&amp;A1967&amp;"   "&amp;"0x"&amp;DEC2HEX(HEX2DEC(INDIRECT("CONFIG_NS!A"&amp;INDIRECT("CONFIG_NS!A"&amp;(A1980))+264)),2)</f>
        <v>#define MPU_NS_TYPE_IDX3   0x01</v>
      </c>
    </row>
    <row r="1981" spans="1:2" x14ac:dyDescent="0.25">
      <c r="B1981" s="18" t="str">
        <f>"//   &lt;h&gt;if Type of Attr Idx "&amp;A1967&amp;" is NORMAL Memory"</f>
        <v>//   &lt;h&gt;if Type of Attr Idx 3 is NORMAL Memory</v>
      </c>
    </row>
    <row r="1982" spans="1:2" x14ac:dyDescent="0.25">
      <c r="B1982" s="18" t="s">
        <v>122</v>
      </c>
    </row>
    <row r="1983" spans="1:2" x14ac:dyDescent="0.25">
      <c r="B1983" s="18" t="s">
        <v>136</v>
      </c>
    </row>
    <row r="1984" spans="1:2" x14ac:dyDescent="0.25">
      <c r="B1984" s="18" t="s">
        <v>123</v>
      </c>
    </row>
    <row r="1985" spans="1:2" x14ac:dyDescent="0.25">
      <c r="B1985" s="18" t="s">
        <v>124</v>
      </c>
    </row>
    <row r="1986" spans="1:2" x14ac:dyDescent="0.25">
      <c r="B1986" s="18" t="s">
        <v>125</v>
      </c>
    </row>
    <row r="1987" spans="1:2" x14ac:dyDescent="0.25">
      <c r="B1987" s="18" t="s">
        <v>126</v>
      </c>
    </row>
    <row r="1988" spans="1:2" x14ac:dyDescent="0.25">
      <c r="A1988">
        <f>A1980+1</f>
        <v>201</v>
      </c>
      <c r="B1988" s="18" t="str" cm="1">
        <f t="array" aca="1" ref="B1988" ca="1">"#define MPU_NS_OC_POL_IDX"&amp;A1967&amp;" 0x"&amp;DEC2HEX(16*HEX2DEC(INDIRECT("CONFIG_NS!A"&amp;INDIRECT("CONFIG_NS!A"&amp;(A1988))+273)),2)</f>
        <v>#define MPU_NS_OC_POL_IDX3 0x10</v>
      </c>
    </row>
    <row r="1989" spans="1:2" x14ac:dyDescent="0.25">
      <c r="B1989" s="18" t="s">
        <v>127</v>
      </c>
    </row>
    <row r="1990" spans="1:2" x14ac:dyDescent="0.25">
      <c r="B1990" s="18" t="s">
        <v>137</v>
      </c>
    </row>
    <row r="1991" spans="1:2" x14ac:dyDescent="0.25">
      <c r="B1991" s="18" t="s">
        <v>128</v>
      </c>
    </row>
    <row r="1992" spans="1:2" x14ac:dyDescent="0.25">
      <c r="B1992" s="18" t="s">
        <v>129</v>
      </c>
    </row>
    <row r="1993" spans="1:2" x14ac:dyDescent="0.25">
      <c r="B1993" s="18" t="s">
        <v>130</v>
      </c>
    </row>
    <row r="1994" spans="1:2" x14ac:dyDescent="0.25">
      <c r="B1994" s="18" t="s">
        <v>131</v>
      </c>
    </row>
    <row r="1995" spans="1:2" x14ac:dyDescent="0.25">
      <c r="A1995">
        <f>A1988+3</f>
        <v>204</v>
      </c>
      <c r="B1995" s="18" t="str" cm="1">
        <f t="array" aca="1" ref="B1995" ca="1">"#define MPU_NS_IC_POL_IDX"&amp;A1967&amp;" 0x"&amp;DEC2HEX(HEX2DEC(INDIRECT("CONFIG_NS!A"&amp;INDIRECT("CONFIG_NS!A"&amp;(A1995))+273)),2)</f>
        <v>#define MPU_NS_IC_POL_IDX3 0x01</v>
      </c>
    </row>
    <row r="1996" spans="1:2" x14ac:dyDescent="0.25">
      <c r="B1996" s="18" t="s">
        <v>132</v>
      </c>
    </row>
    <row r="1997" spans="1:2" x14ac:dyDescent="0.25">
      <c r="B1997" s="18" t="s">
        <v>133</v>
      </c>
    </row>
    <row r="1998" spans="1:2" x14ac:dyDescent="0.25">
      <c r="A1998">
        <f>A1988+1</f>
        <v>202</v>
      </c>
      <c r="B1998" s="18" t="str" cm="1">
        <f t="array" aca="1" ref="B1998" ca="1">"#define MPU_NS_OC_RW_IDX"&amp;A1967&amp;"  0x"&amp;DEC2HEX((16*INDIRECT("CONFIG_NS!A"&amp;(A1998))+(32*INDIRECT("CONFIG_NS!A"&amp;(A1999)))),2)</f>
        <v>#define MPU_NS_OC_RW_IDX3  0x00</v>
      </c>
    </row>
    <row r="1999" spans="1:2" x14ac:dyDescent="0.25">
      <c r="A1999">
        <f>A1998+1</f>
        <v>203</v>
      </c>
      <c r="B1999" s="18" t="s">
        <v>134</v>
      </c>
    </row>
    <row r="2000" spans="1:2" x14ac:dyDescent="0.25">
      <c r="B2000" s="18" t="s">
        <v>135</v>
      </c>
    </row>
    <row r="2001" spans="1:2" x14ac:dyDescent="0.25">
      <c r="A2001">
        <f>A1995+1</f>
        <v>205</v>
      </c>
      <c r="B2001" s="18" t="str" cm="1">
        <f t="array" aca="1" ref="B2001" ca="1">"#define MPU_NS_IC_RW_IDX"&amp;A1967&amp;"  0x"&amp;DEC2HEX((1*INDIRECT("CONFIG_NS!A"&amp;(A2001))+(2*INDIRECT("CONFIG_NS!A"&amp;(A2002)))),2)</f>
        <v>#define MPU_NS_IC_RW_IDX3  0x00</v>
      </c>
    </row>
    <row r="2002" spans="1:2" x14ac:dyDescent="0.25">
      <c r="A2002">
        <f>A2001+1</f>
        <v>206</v>
      </c>
      <c r="B2002" s="18" t="str">
        <f>"//   &lt;/h&gt;   //if NORMAL Memory of IDX"&amp;A1967</f>
        <v>//   &lt;/h&gt;   //if NORMAL Memory of IDX3</v>
      </c>
    </row>
    <row r="2003" spans="1:2" x14ac:dyDescent="0.25">
      <c r="B2003" s="18" t="str">
        <f>"#if (MPU_NS_OC_POL_IDX"&amp;A1967&amp;" == 0x10)"</f>
        <v>#if (MPU_NS_OC_POL_IDX3 == 0x10)</v>
      </c>
    </row>
    <row r="2004" spans="1:2" x14ac:dyDescent="0.25">
      <c r="B2004" s="18" t="str">
        <f>"#define MPU_NS_OUTERCACHE_IDX"&amp;A1967&amp;"   0x40"</f>
        <v>#define MPU_NS_OUTERCACHE_IDX3   0x40</v>
      </c>
    </row>
    <row r="2005" spans="1:2" x14ac:dyDescent="0.25">
      <c r="B2005" s="18" t="s">
        <v>24</v>
      </c>
    </row>
    <row r="2006" spans="1:2" x14ac:dyDescent="0.25">
      <c r="B2006" s="18" t="str">
        <f>"#define MPU_NS_OUTERCACHE_IDX"&amp;A1967&amp;"   (MPU_NS_OC_POL_IDX"&amp;A1967&amp;" | MPU_NS_OC_RW_IDX"&amp;A1967&amp;")"</f>
        <v>#define MPU_NS_OUTERCACHE_IDX3   (MPU_NS_OC_POL_IDX3 | MPU_NS_OC_RW_IDX3)</v>
      </c>
    </row>
    <row r="2007" spans="1:2" x14ac:dyDescent="0.25">
      <c r="B2007" s="18" t="s">
        <v>25</v>
      </c>
    </row>
    <row r="2008" spans="1:2" x14ac:dyDescent="0.25">
      <c r="B2008" s="18" t="str">
        <f>"#if (MPU_NS_IC_POL_IDX"&amp;A1967&amp;" == 0x01)"</f>
        <v>#if (MPU_NS_IC_POL_IDX3 == 0x01)</v>
      </c>
    </row>
    <row r="2009" spans="1:2" x14ac:dyDescent="0.25">
      <c r="B2009" s="18" t="str">
        <f>"#define MPU_NS_INNERCACHE_IDX"&amp;A1967&amp;"   0x04"</f>
        <v>#define MPU_NS_INNERCACHE_IDX3   0x04</v>
      </c>
    </row>
    <row r="2010" spans="1:2" x14ac:dyDescent="0.25">
      <c r="B2010" s="18" t="s">
        <v>24</v>
      </c>
    </row>
    <row r="2011" spans="1:2" x14ac:dyDescent="0.25">
      <c r="B2011" s="18" t="str">
        <f>"#define MPU_NS_INNERCACHE_IDX"&amp;A1967&amp;"   (MPU_NS_IC_POL_IDX"&amp;A1967&amp;" | MPU_NS_IC_RW_IDX"&amp;A1967&amp;")"</f>
        <v>#define MPU_NS_INNERCACHE_IDX3   (MPU_NS_IC_POL_IDX3 | MPU_NS_IC_RW_IDX3)</v>
      </c>
    </row>
    <row r="2012" spans="1:2" x14ac:dyDescent="0.25">
      <c r="B2012" s="18" t="s">
        <v>25</v>
      </c>
    </row>
    <row r="2013" spans="1:2" x14ac:dyDescent="0.25">
      <c r="B2013" s="18" t="str">
        <f>"#if (MPU_NS_TYPE_IDX"&amp;A1967&amp;" == 0x01)"</f>
        <v>#if (MPU_NS_TYPE_IDX3 == 0x01)</v>
      </c>
    </row>
    <row r="2014" spans="1:2" x14ac:dyDescent="0.25">
      <c r="B2014" s="18" t="str">
        <f>"#define MPU_NS_VAL_IDX"&amp;A1967&amp;"   (MPU_NS_OUTERCACHE_IDX"&amp;A1967&amp;" | MPU_NS_INNERCACHE_IDX"&amp;A1967&amp;")"</f>
        <v>#define MPU_NS_VAL_IDX3   (MPU_NS_OUTERCACHE_IDX3 | MPU_NS_INNERCACHE_IDX3)</v>
      </c>
    </row>
    <row r="2015" spans="1:2" x14ac:dyDescent="0.25">
      <c r="B2015" s="18" t="s">
        <v>24</v>
      </c>
    </row>
    <row r="2016" spans="1:2" x14ac:dyDescent="0.25">
      <c r="B2016" s="18" t="str">
        <f>"#define MPU_NS_VAL_IDX"&amp;A1967&amp;"   MPU_NS_TYPE_IDX"&amp;A1967&amp;""</f>
        <v>#define MPU_NS_VAL_IDX3   MPU_NS_TYPE_IDX3</v>
      </c>
    </row>
    <row r="2017" spans="1:2" x14ac:dyDescent="0.25">
      <c r="B2017" s="18" t="s">
        <v>25</v>
      </c>
    </row>
    <row r="2018" spans="1:2" x14ac:dyDescent="0.25">
      <c r="B2018" s="18" t="str">
        <f>"//   &lt;/e&gt;   //MPU_NS Attr Idx "&amp;A1967</f>
        <v>//   &lt;/e&gt;   //MPU_NS Attr Idx 3</v>
      </c>
    </row>
    <row r="2019" spans="1:2" x14ac:dyDescent="0.25">
      <c r="A2019" s="27">
        <f>A1967+1</f>
        <v>4</v>
      </c>
      <c r="B2019" s="18" t="str">
        <f>"// MPU_NS IDX "&amp;A2019&amp;" ********************************"</f>
        <v>// MPU_NS IDX 4 ********************************</v>
      </c>
    </row>
    <row r="2020" spans="1:2" x14ac:dyDescent="0.25">
      <c r="B2020" s="18" t="str">
        <f>"//   &lt;e&gt;Initialize MPU_NS Attr Idx "&amp;A2019</f>
        <v>//   &lt;e&gt;Initialize MPU_NS Attr Idx 4</v>
      </c>
    </row>
    <row r="2021" spans="1:2" x14ac:dyDescent="0.25">
      <c r="A2021" s="27">
        <f>A1969+10</f>
        <v>208</v>
      </c>
      <c r="B2021" s="18" t="str">
        <f ca="1">"#define MPU_NS_INIT_IDX"&amp;A2019&amp;"   "&amp;N(INDIRECT("CONFIG_NS!A"&amp;A2021))</f>
        <v>#define MPU_NS_INIT_IDX4   0</v>
      </c>
    </row>
    <row r="2022" spans="1:2" x14ac:dyDescent="0.25">
      <c r="B2022" s="18" t="str">
        <f>"//   &lt;o&gt;Memory Access Type of Attr Idx "&amp;A2019</f>
        <v>//   &lt;o&gt;Memory Access Type of Attr Idx 4</v>
      </c>
    </row>
    <row r="2023" spans="1:2" x14ac:dyDescent="0.25">
      <c r="B2023" s="18" t="s">
        <v>113</v>
      </c>
    </row>
    <row r="2024" spans="1:2" x14ac:dyDescent="0.25">
      <c r="B2024" s="18" t="s">
        <v>114</v>
      </c>
    </row>
    <row r="2025" spans="1:2" x14ac:dyDescent="0.25">
      <c r="B2025" s="18" t="s">
        <v>115</v>
      </c>
    </row>
    <row r="2026" spans="1:2" x14ac:dyDescent="0.25">
      <c r="B2026" s="18" t="s">
        <v>116</v>
      </c>
    </row>
    <row r="2027" spans="1:2" x14ac:dyDescent="0.25">
      <c r="B2027" s="18" t="s">
        <v>117</v>
      </c>
    </row>
    <row r="2028" spans="1:2" x14ac:dyDescent="0.25">
      <c r="B2028" s="18" t="s">
        <v>118</v>
      </c>
    </row>
    <row r="2029" spans="1:2" x14ac:dyDescent="0.25">
      <c r="B2029" s="18" t="s">
        <v>119</v>
      </c>
    </row>
    <row r="2030" spans="1:2" x14ac:dyDescent="0.25">
      <c r="B2030" s="18" t="s">
        <v>120</v>
      </c>
    </row>
    <row r="2031" spans="1:2" x14ac:dyDescent="0.25">
      <c r="B2031" s="18" t="s">
        <v>121</v>
      </c>
    </row>
    <row r="2032" spans="1:2" x14ac:dyDescent="0.25">
      <c r="A2032">
        <f>A2021+2</f>
        <v>210</v>
      </c>
      <c r="B2032" s="18" t="str" cm="1">
        <f t="array" aca="1" ref="B2032" ca="1">"#define MPU_NS_TYPE_IDX"&amp;A2019&amp;"   "&amp;"0x"&amp;DEC2HEX(HEX2DEC(INDIRECT("CONFIG_NS!A"&amp;INDIRECT("CONFIG_NS!A"&amp;(A2032))+264)),2)</f>
        <v>#define MPU_NS_TYPE_IDX4   0x01</v>
      </c>
    </row>
    <row r="2033" spans="1:2" x14ac:dyDescent="0.25">
      <c r="B2033" s="18" t="str">
        <f>"//   &lt;h&gt;if Type of Attr Idx "&amp;A2019&amp;" is NORMAL Memory"</f>
        <v>//   &lt;h&gt;if Type of Attr Idx 4 is NORMAL Memory</v>
      </c>
    </row>
    <row r="2034" spans="1:2" x14ac:dyDescent="0.25">
      <c r="B2034" s="18" t="s">
        <v>122</v>
      </c>
    </row>
    <row r="2035" spans="1:2" x14ac:dyDescent="0.25">
      <c r="B2035" s="18" t="s">
        <v>136</v>
      </c>
    </row>
    <row r="2036" spans="1:2" x14ac:dyDescent="0.25">
      <c r="B2036" s="18" t="s">
        <v>123</v>
      </c>
    </row>
    <row r="2037" spans="1:2" x14ac:dyDescent="0.25">
      <c r="B2037" s="18" t="s">
        <v>124</v>
      </c>
    </row>
    <row r="2038" spans="1:2" x14ac:dyDescent="0.25">
      <c r="B2038" s="18" t="s">
        <v>125</v>
      </c>
    </row>
    <row r="2039" spans="1:2" x14ac:dyDescent="0.25">
      <c r="B2039" s="18" t="s">
        <v>126</v>
      </c>
    </row>
    <row r="2040" spans="1:2" x14ac:dyDescent="0.25">
      <c r="A2040">
        <f>A2032+1</f>
        <v>211</v>
      </c>
      <c r="B2040" s="18" t="str" cm="1">
        <f t="array" aca="1" ref="B2040" ca="1">"#define MPU_NS_OC_POL_IDX"&amp;A2019&amp;" 0x"&amp;DEC2HEX(16*HEX2DEC(INDIRECT("CONFIG_NS!A"&amp;INDIRECT("CONFIG_NS!A"&amp;(A2040))+273)),2)</f>
        <v>#define MPU_NS_OC_POL_IDX4 0x00</v>
      </c>
    </row>
    <row r="2041" spans="1:2" x14ac:dyDescent="0.25">
      <c r="B2041" s="18" t="s">
        <v>127</v>
      </c>
    </row>
    <row r="2042" spans="1:2" x14ac:dyDescent="0.25">
      <c r="B2042" s="18" t="s">
        <v>137</v>
      </c>
    </row>
    <row r="2043" spans="1:2" x14ac:dyDescent="0.25">
      <c r="B2043" s="18" t="s">
        <v>128</v>
      </c>
    </row>
    <row r="2044" spans="1:2" x14ac:dyDescent="0.25">
      <c r="B2044" s="18" t="s">
        <v>129</v>
      </c>
    </row>
    <row r="2045" spans="1:2" x14ac:dyDescent="0.25">
      <c r="B2045" s="18" t="s">
        <v>130</v>
      </c>
    </row>
    <row r="2046" spans="1:2" x14ac:dyDescent="0.25">
      <c r="B2046" s="18" t="s">
        <v>131</v>
      </c>
    </row>
    <row r="2047" spans="1:2" x14ac:dyDescent="0.25">
      <c r="A2047">
        <f>A2040+3</f>
        <v>214</v>
      </c>
      <c r="B2047" s="18" t="str" cm="1">
        <f t="array" aca="1" ref="B2047" ca="1">"#define MPU_NS_IC_POL_IDX"&amp;A2019&amp;" 0x"&amp;DEC2HEX(HEX2DEC(INDIRECT("CONFIG_NS!A"&amp;INDIRECT("CONFIG_NS!A"&amp;(A2047))+273)),2)</f>
        <v>#define MPU_NS_IC_POL_IDX4 0x01</v>
      </c>
    </row>
    <row r="2048" spans="1:2" x14ac:dyDescent="0.25">
      <c r="B2048" s="18" t="s">
        <v>132</v>
      </c>
    </row>
    <row r="2049" spans="1:2" x14ac:dyDescent="0.25">
      <c r="B2049" s="18" t="s">
        <v>133</v>
      </c>
    </row>
    <row r="2050" spans="1:2" x14ac:dyDescent="0.25">
      <c r="A2050">
        <f>A2040+1</f>
        <v>212</v>
      </c>
      <c r="B2050" s="18" t="str" cm="1">
        <f t="array" aca="1" ref="B2050" ca="1">"#define MPU_NS_OC_RW_IDX"&amp;A2019&amp;"  0x"&amp;DEC2HEX((16*INDIRECT("CONFIG_NS!A"&amp;(A2050))+(32*INDIRECT("CONFIG_NS!A"&amp;(A2051)))),2)</f>
        <v>#define MPU_NS_OC_RW_IDX4  0x00</v>
      </c>
    </row>
    <row r="2051" spans="1:2" x14ac:dyDescent="0.25">
      <c r="A2051">
        <f>A2050+1</f>
        <v>213</v>
      </c>
      <c r="B2051" s="18" t="s">
        <v>134</v>
      </c>
    </row>
    <row r="2052" spans="1:2" x14ac:dyDescent="0.25">
      <c r="B2052" s="18" t="s">
        <v>135</v>
      </c>
    </row>
    <row r="2053" spans="1:2" x14ac:dyDescent="0.25">
      <c r="A2053">
        <f>A2047+1</f>
        <v>215</v>
      </c>
      <c r="B2053" s="18" t="str" cm="1">
        <f t="array" aca="1" ref="B2053" ca="1">"#define MPU_NS_IC_RW_IDX"&amp;A2019&amp;"  0x"&amp;DEC2HEX((1*INDIRECT("CONFIG_NS!A"&amp;(A2053))+(2*INDIRECT("CONFIG_NS!A"&amp;(A2054)))),2)</f>
        <v>#define MPU_NS_IC_RW_IDX4  0x00</v>
      </c>
    </row>
    <row r="2054" spans="1:2" x14ac:dyDescent="0.25">
      <c r="A2054">
        <f>A2053+1</f>
        <v>216</v>
      </c>
      <c r="B2054" s="18" t="str">
        <f>"//   &lt;/h&gt;   //if NORMAL Memory of IDX"&amp;A2019</f>
        <v>//   &lt;/h&gt;   //if NORMAL Memory of IDX4</v>
      </c>
    </row>
    <row r="2055" spans="1:2" x14ac:dyDescent="0.25">
      <c r="B2055" s="18" t="str">
        <f>"#if (MPU_NS_OC_POL_IDX"&amp;A2019&amp;" == 0x10)"</f>
        <v>#if (MPU_NS_OC_POL_IDX4 == 0x10)</v>
      </c>
    </row>
    <row r="2056" spans="1:2" x14ac:dyDescent="0.25">
      <c r="B2056" s="18" t="str">
        <f>"#define MPU_NS_OUTERCACHE_IDX"&amp;A2019&amp;"   0x40"</f>
        <v>#define MPU_NS_OUTERCACHE_IDX4   0x40</v>
      </c>
    </row>
    <row r="2057" spans="1:2" x14ac:dyDescent="0.25">
      <c r="B2057" s="18" t="s">
        <v>24</v>
      </c>
    </row>
    <row r="2058" spans="1:2" x14ac:dyDescent="0.25">
      <c r="B2058" s="18" t="str">
        <f>"#define MPU_NS_OUTERCACHE_IDX"&amp;A2019&amp;"   (MPU_NS_OC_POL_IDX"&amp;A2019&amp;" | MPU_NS_OC_RW_IDX"&amp;A2019&amp;")"</f>
        <v>#define MPU_NS_OUTERCACHE_IDX4   (MPU_NS_OC_POL_IDX4 | MPU_NS_OC_RW_IDX4)</v>
      </c>
    </row>
    <row r="2059" spans="1:2" x14ac:dyDescent="0.25">
      <c r="B2059" s="18" t="s">
        <v>25</v>
      </c>
    </row>
    <row r="2060" spans="1:2" x14ac:dyDescent="0.25">
      <c r="B2060" s="18" t="str">
        <f>"#if (MPU_NS_IC_POL_IDX"&amp;A2019&amp;" == 0x01)"</f>
        <v>#if (MPU_NS_IC_POL_IDX4 == 0x01)</v>
      </c>
    </row>
    <row r="2061" spans="1:2" x14ac:dyDescent="0.25">
      <c r="B2061" s="18" t="str">
        <f>"#define MPU_NS_INNERCACHE_IDX"&amp;A2019&amp;"   0x04"</f>
        <v>#define MPU_NS_INNERCACHE_IDX4   0x04</v>
      </c>
    </row>
    <row r="2062" spans="1:2" x14ac:dyDescent="0.25">
      <c r="B2062" s="18" t="s">
        <v>24</v>
      </c>
    </row>
    <row r="2063" spans="1:2" x14ac:dyDescent="0.25">
      <c r="B2063" s="18" t="str">
        <f>"#define MPU_NS_INNERCACHE_IDX"&amp;A2019&amp;"   (MPU_NS_IC_POL_IDX"&amp;A2019&amp;" | MPU_NS_IC_RW_IDX"&amp;A2019&amp;")"</f>
        <v>#define MPU_NS_INNERCACHE_IDX4   (MPU_NS_IC_POL_IDX4 | MPU_NS_IC_RW_IDX4)</v>
      </c>
    </row>
    <row r="2064" spans="1:2" x14ac:dyDescent="0.25">
      <c r="B2064" s="18" t="s">
        <v>25</v>
      </c>
    </row>
    <row r="2065" spans="1:2" x14ac:dyDescent="0.25">
      <c r="B2065" s="18" t="str">
        <f>"#if (MPU_NS_TYPE_IDX"&amp;A2019&amp;" == 0x01)"</f>
        <v>#if (MPU_NS_TYPE_IDX4 == 0x01)</v>
      </c>
    </row>
    <row r="2066" spans="1:2" x14ac:dyDescent="0.25">
      <c r="B2066" s="18" t="str">
        <f>"#define MPU_NS_VAL_IDX"&amp;A2019&amp;"   (MPU_NS_OUTERCACHE_IDX"&amp;A2019&amp;" | MPU_NS_INNERCACHE_IDX"&amp;A2019&amp;")"</f>
        <v>#define MPU_NS_VAL_IDX4   (MPU_NS_OUTERCACHE_IDX4 | MPU_NS_INNERCACHE_IDX4)</v>
      </c>
    </row>
    <row r="2067" spans="1:2" x14ac:dyDescent="0.25">
      <c r="B2067" s="18" t="s">
        <v>24</v>
      </c>
    </row>
    <row r="2068" spans="1:2" x14ac:dyDescent="0.25">
      <c r="B2068" s="18" t="str">
        <f>"#define MPU_NS_VAL_IDX"&amp;A2019&amp;"   MPU_NS_TYPE_IDX"&amp;A2019&amp;""</f>
        <v>#define MPU_NS_VAL_IDX4   MPU_NS_TYPE_IDX4</v>
      </c>
    </row>
    <row r="2069" spans="1:2" x14ac:dyDescent="0.25">
      <c r="B2069" s="18" t="s">
        <v>25</v>
      </c>
    </row>
    <row r="2070" spans="1:2" x14ac:dyDescent="0.25">
      <c r="B2070" s="18" t="str">
        <f>"//   &lt;/e&gt;   //MPU_NS Attr Idx "&amp;A2019</f>
        <v>//   &lt;/e&gt;   //MPU_NS Attr Idx 4</v>
      </c>
    </row>
    <row r="2071" spans="1:2" x14ac:dyDescent="0.25">
      <c r="A2071" s="27">
        <f>A2019+1</f>
        <v>5</v>
      </c>
      <c r="B2071" s="18" t="str">
        <f>"// MPU_NS IDX "&amp;A2071&amp;" ********************************"</f>
        <v>// MPU_NS IDX 5 ********************************</v>
      </c>
    </row>
    <row r="2072" spans="1:2" x14ac:dyDescent="0.25">
      <c r="B2072" s="18" t="str">
        <f>"//   &lt;e&gt;Initialize MPU_NS Attr Idx "&amp;A2071</f>
        <v>//   &lt;e&gt;Initialize MPU_NS Attr Idx 5</v>
      </c>
    </row>
    <row r="2073" spans="1:2" x14ac:dyDescent="0.25">
      <c r="A2073" s="27">
        <f>A2021+10</f>
        <v>218</v>
      </c>
      <c r="B2073" s="18" t="str">
        <f ca="1">"#define MPU_NS_INIT_IDX"&amp;A2071&amp;"   "&amp;N(INDIRECT("CONFIG_NS!A"&amp;A2073))</f>
        <v>#define MPU_NS_INIT_IDX5   0</v>
      </c>
    </row>
    <row r="2074" spans="1:2" x14ac:dyDescent="0.25">
      <c r="B2074" s="18" t="str">
        <f>"//   &lt;o&gt;Memory Access Type of Attr Idx "&amp;A2071</f>
        <v>//   &lt;o&gt;Memory Access Type of Attr Idx 5</v>
      </c>
    </row>
    <row r="2075" spans="1:2" x14ac:dyDescent="0.25">
      <c r="B2075" s="18" t="s">
        <v>113</v>
      </c>
    </row>
    <row r="2076" spans="1:2" x14ac:dyDescent="0.25">
      <c r="B2076" s="18" t="s">
        <v>114</v>
      </c>
    </row>
    <row r="2077" spans="1:2" x14ac:dyDescent="0.25">
      <c r="B2077" s="18" t="s">
        <v>115</v>
      </c>
    </row>
    <row r="2078" spans="1:2" x14ac:dyDescent="0.25">
      <c r="B2078" s="18" t="s">
        <v>116</v>
      </c>
    </row>
    <row r="2079" spans="1:2" x14ac:dyDescent="0.25">
      <c r="B2079" s="18" t="s">
        <v>117</v>
      </c>
    </row>
    <row r="2080" spans="1:2" x14ac:dyDescent="0.25">
      <c r="B2080" s="18" t="s">
        <v>118</v>
      </c>
    </row>
    <row r="2081" spans="1:2" x14ac:dyDescent="0.25">
      <c r="B2081" s="18" t="s">
        <v>119</v>
      </c>
    </row>
    <row r="2082" spans="1:2" x14ac:dyDescent="0.25">
      <c r="B2082" s="18" t="s">
        <v>120</v>
      </c>
    </row>
    <row r="2083" spans="1:2" x14ac:dyDescent="0.25">
      <c r="B2083" s="18" t="s">
        <v>121</v>
      </c>
    </row>
    <row r="2084" spans="1:2" x14ac:dyDescent="0.25">
      <c r="A2084">
        <f>A2073+2</f>
        <v>220</v>
      </c>
      <c r="B2084" s="18" t="str" cm="1">
        <f t="array" aca="1" ref="B2084" ca="1">"#define MPU_NS_TYPE_IDX"&amp;A2071&amp;"   "&amp;"0x"&amp;DEC2HEX(HEX2DEC(INDIRECT("CONFIG_NS!A"&amp;INDIRECT("CONFIG_NS!A"&amp;(A2084))+264)),2)</f>
        <v>#define MPU_NS_TYPE_IDX5   0x01</v>
      </c>
    </row>
    <row r="2085" spans="1:2" x14ac:dyDescent="0.25">
      <c r="B2085" s="18" t="str">
        <f>"//   &lt;h&gt;if Type of Attr Idx "&amp;A2071&amp;" is NORMAL Memory"</f>
        <v>//   &lt;h&gt;if Type of Attr Idx 5 is NORMAL Memory</v>
      </c>
    </row>
    <row r="2086" spans="1:2" x14ac:dyDescent="0.25">
      <c r="B2086" s="18" t="s">
        <v>122</v>
      </c>
    </row>
    <row r="2087" spans="1:2" x14ac:dyDescent="0.25">
      <c r="B2087" s="18" t="s">
        <v>136</v>
      </c>
    </row>
    <row r="2088" spans="1:2" x14ac:dyDescent="0.25">
      <c r="B2088" s="18" t="s">
        <v>123</v>
      </c>
    </row>
    <row r="2089" spans="1:2" x14ac:dyDescent="0.25">
      <c r="B2089" s="18" t="s">
        <v>124</v>
      </c>
    </row>
    <row r="2090" spans="1:2" x14ac:dyDescent="0.25">
      <c r="B2090" s="18" t="s">
        <v>125</v>
      </c>
    </row>
    <row r="2091" spans="1:2" x14ac:dyDescent="0.25">
      <c r="B2091" s="18" t="s">
        <v>126</v>
      </c>
    </row>
    <row r="2092" spans="1:2" x14ac:dyDescent="0.25">
      <c r="A2092">
        <f>A2084+1</f>
        <v>221</v>
      </c>
      <c r="B2092" s="18" t="str" cm="1">
        <f t="array" aca="1" ref="B2092" ca="1">"#define MPU_NS_OC_POL_IDX"&amp;A2071&amp;" 0x"&amp;DEC2HEX(16*HEX2DEC(INDIRECT("CONFIG_NS!A"&amp;INDIRECT("CONFIG_NS!A"&amp;(A2092))+273)),2)</f>
        <v>#define MPU_NS_OC_POL_IDX5 0x10</v>
      </c>
    </row>
    <row r="2093" spans="1:2" x14ac:dyDescent="0.25">
      <c r="B2093" s="18" t="s">
        <v>127</v>
      </c>
    </row>
    <row r="2094" spans="1:2" x14ac:dyDescent="0.25">
      <c r="B2094" s="18" t="s">
        <v>137</v>
      </c>
    </row>
    <row r="2095" spans="1:2" x14ac:dyDescent="0.25">
      <c r="B2095" s="18" t="s">
        <v>128</v>
      </c>
    </row>
    <row r="2096" spans="1:2" x14ac:dyDescent="0.25">
      <c r="B2096" s="18" t="s">
        <v>129</v>
      </c>
    </row>
    <row r="2097" spans="1:2" x14ac:dyDescent="0.25">
      <c r="B2097" s="18" t="s">
        <v>130</v>
      </c>
    </row>
    <row r="2098" spans="1:2" x14ac:dyDescent="0.25">
      <c r="B2098" s="18" t="s">
        <v>131</v>
      </c>
    </row>
    <row r="2099" spans="1:2" x14ac:dyDescent="0.25">
      <c r="A2099">
        <f>A2092+3</f>
        <v>224</v>
      </c>
      <c r="B2099" s="18" t="str" cm="1">
        <f t="array" aca="1" ref="B2099" ca="1">"#define MPU_NS_IC_POL_IDX"&amp;A2071&amp;" 0x"&amp;DEC2HEX(HEX2DEC(INDIRECT("CONFIG_NS!A"&amp;INDIRECT("CONFIG_NS!A"&amp;(A2099))+273)),2)</f>
        <v>#define MPU_NS_IC_POL_IDX5 0x01</v>
      </c>
    </row>
    <row r="2100" spans="1:2" x14ac:dyDescent="0.25">
      <c r="B2100" s="18" t="s">
        <v>132</v>
      </c>
    </row>
    <row r="2101" spans="1:2" x14ac:dyDescent="0.25">
      <c r="B2101" s="18" t="s">
        <v>133</v>
      </c>
    </row>
    <row r="2102" spans="1:2" x14ac:dyDescent="0.25">
      <c r="A2102">
        <f>A2092+1</f>
        <v>222</v>
      </c>
      <c r="B2102" s="18" t="str" cm="1">
        <f t="array" aca="1" ref="B2102" ca="1">"#define MPU_NS_OC_RW_IDX"&amp;A2071&amp;"  0x"&amp;DEC2HEX((16*INDIRECT("CONFIG_NS!A"&amp;(A2102))+(32*INDIRECT("CONFIG_NS!A"&amp;(A2103)))),2)</f>
        <v>#define MPU_NS_OC_RW_IDX5  0x00</v>
      </c>
    </row>
    <row r="2103" spans="1:2" x14ac:dyDescent="0.25">
      <c r="A2103">
        <f>A2102+1</f>
        <v>223</v>
      </c>
      <c r="B2103" s="18" t="s">
        <v>134</v>
      </c>
    </row>
    <row r="2104" spans="1:2" x14ac:dyDescent="0.25">
      <c r="B2104" s="18" t="s">
        <v>135</v>
      </c>
    </row>
    <row r="2105" spans="1:2" x14ac:dyDescent="0.25">
      <c r="A2105">
        <f>A2099+1</f>
        <v>225</v>
      </c>
      <c r="B2105" s="18" t="str" cm="1">
        <f t="array" aca="1" ref="B2105" ca="1">"#define MPU_NS_IC_RW_IDX"&amp;A2071&amp;"  0x"&amp;DEC2HEX((1*INDIRECT("CONFIG_NS!A"&amp;(A2105))+(2*INDIRECT("CONFIG_NS!A"&amp;(A2106)))),2)</f>
        <v>#define MPU_NS_IC_RW_IDX5  0x00</v>
      </c>
    </row>
    <row r="2106" spans="1:2" x14ac:dyDescent="0.25">
      <c r="A2106">
        <f>A2105+1</f>
        <v>226</v>
      </c>
      <c r="B2106" s="18" t="str">
        <f>"//   &lt;/h&gt;   //if NORMAL Memory of IDX"&amp;A2071</f>
        <v>//   &lt;/h&gt;   //if NORMAL Memory of IDX5</v>
      </c>
    </row>
    <row r="2107" spans="1:2" x14ac:dyDescent="0.25">
      <c r="B2107" s="18" t="str">
        <f>"#if (MPU_NS_OC_POL_IDX"&amp;A2071&amp;" == 0x10)"</f>
        <v>#if (MPU_NS_OC_POL_IDX5 == 0x10)</v>
      </c>
    </row>
    <row r="2108" spans="1:2" x14ac:dyDescent="0.25">
      <c r="B2108" s="18" t="str">
        <f>"#define MPU_NS_OUTERCACHE_IDX"&amp;A2071&amp;"   0x40"</f>
        <v>#define MPU_NS_OUTERCACHE_IDX5   0x40</v>
      </c>
    </row>
    <row r="2109" spans="1:2" x14ac:dyDescent="0.25">
      <c r="B2109" s="18" t="s">
        <v>24</v>
      </c>
    </row>
    <row r="2110" spans="1:2" x14ac:dyDescent="0.25">
      <c r="B2110" s="18" t="str">
        <f>"#define MPU_NS_OUTERCACHE_IDX"&amp;A2071&amp;"   (MPU_NS_OC_POL_IDX"&amp;A2071&amp;" | MPU_NS_OC_RW_IDX"&amp;A2071&amp;")"</f>
        <v>#define MPU_NS_OUTERCACHE_IDX5   (MPU_NS_OC_POL_IDX5 | MPU_NS_OC_RW_IDX5)</v>
      </c>
    </row>
    <row r="2111" spans="1:2" x14ac:dyDescent="0.25">
      <c r="B2111" s="18" t="s">
        <v>25</v>
      </c>
    </row>
    <row r="2112" spans="1:2" x14ac:dyDescent="0.25">
      <c r="B2112" s="18" t="str">
        <f>"#if (MPU_NS_IC_POL_IDX"&amp;A2071&amp;" == 0x01)"</f>
        <v>#if (MPU_NS_IC_POL_IDX5 == 0x01)</v>
      </c>
    </row>
    <row r="2113" spans="1:2" x14ac:dyDescent="0.25">
      <c r="B2113" s="18" t="str">
        <f>"#define MPU_NS_INNERCACHE_IDX"&amp;A2071&amp;"   0x04"</f>
        <v>#define MPU_NS_INNERCACHE_IDX5   0x04</v>
      </c>
    </row>
    <row r="2114" spans="1:2" x14ac:dyDescent="0.25">
      <c r="B2114" s="18" t="s">
        <v>24</v>
      </c>
    </row>
    <row r="2115" spans="1:2" x14ac:dyDescent="0.25">
      <c r="B2115" s="18" t="str">
        <f>"#define MPU_NS_INNERCACHE_IDX"&amp;A2071&amp;"   (MPU_NS_IC_POL_IDX"&amp;A2071&amp;" | MPU_NS_IC_RW_IDX"&amp;A2071&amp;")"</f>
        <v>#define MPU_NS_INNERCACHE_IDX5   (MPU_NS_IC_POL_IDX5 | MPU_NS_IC_RW_IDX5)</v>
      </c>
    </row>
    <row r="2116" spans="1:2" x14ac:dyDescent="0.25">
      <c r="B2116" s="18" t="s">
        <v>25</v>
      </c>
    </row>
    <row r="2117" spans="1:2" x14ac:dyDescent="0.25">
      <c r="B2117" s="18" t="str">
        <f>"#if (MPU_NS_TYPE_IDX"&amp;A2071&amp;" == 0x01)"</f>
        <v>#if (MPU_NS_TYPE_IDX5 == 0x01)</v>
      </c>
    </row>
    <row r="2118" spans="1:2" x14ac:dyDescent="0.25">
      <c r="B2118" s="18" t="str">
        <f>"#define MPU_NS_VAL_IDX"&amp;A2071&amp;"   (MPU_NS_OUTERCACHE_IDX"&amp;A2071&amp;" | MPU_NS_INNERCACHE_IDX"&amp;A2071&amp;")"</f>
        <v>#define MPU_NS_VAL_IDX5   (MPU_NS_OUTERCACHE_IDX5 | MPU_NS_INNERCACHE_IDX5)</v>
      </c>
    </row>
    <row r="2119" spans="1:2" x14ac:dyDescent="0.25">
      <c r="B2119" s="18" t="s">
        <v>24</v>
      </c>
    </row>
    <row r="2120" spans="1:2" x14ac:dyDescent="0.25">
      <c r="B2120" s="18" t="str">
        <f>"#define MPU_NS_VAL_IDX"&amp;A2071&amp;"   MPU_NS_TYPE_IDX"&amp;A2071&amp;""</f>
        <v>#define MPU_NS_VAL_IDX5   MPU_NS_TYPE_IDX5</v>
      </c>
    </row>
    <row r="2121" spans="1:2" x14ac:dyDescent="0.25">
      <c r="B2121" s="18" t="s">
        <v>25</v>
      </c>
    </row>
    <row r="2122" spans="1:2" x14ac:dyDescent="0.25">
      <c r="B2122" s="18" t="str">
        <f>"//   &lt;/e&gt;   //MPU_NS Attr Idx "&amp;A2071</f>
        <v>//   &lt;/e&gt;   //MPU_NS Attr Idx 5</v>
      </c>
    </row>
    <row r="2123" spans="1:2" x14ac:dyDescent="0.25">
      <c r="A2123" s="27">
        <f>A2071+1</f>
        <v>6</v>
      </c>
      <c r="B2123" s="18" t="str">
        <f>"// MPU_NS IDX "&amp;A2123&amp;" ********************************"</f>
        <v>// MPU_NS IDX 6 ********************************</v>
      </c>
    </row>
    <row r="2124" spans="1:2" x14ac:dyDescent="0.25">
      <c r="B2124" s="18" t="str">
        <f>"//   &lt;e&gt;Initialize MPU_NS Attr Idx "&amp;A2123</f>
        <v>//   &lt;e&gt;Initialize MPU_NS Attr Idx 6</v>
      </c>
    </row>
    <row r="2125" spans="1:2" x14ac:dyDescent="0.25">
      <c r="A2125" s="27">
        <f>A2073+10</f>
        <v>228</v>
      </c>
      <c r="B2125" s="18" t="str">
        <f ca="1">"#define MPU_NS_INIT_IDX"&amp;A2123&amp;"   "&amp;N(INDIRECT("CONFIG_NS!A"&amp;A2125))</f>
        <v>#define MPU_NS_INIT_IDX6   0</v>
      </c>
    </row>
    <row r="2126" spans="1:2" x14ac:dyDescent="0.25">
      <c r="B2126" s="18" t="str">
        <f>"//   &lt;o&gt;Memory Access Type of Attr Idx "&amp;A2123</f>
        <v>//   &lt;o&gt;Memory Access Type of Attr Idx 6</v>
      </c>
    </row>
    <row r="2127" spans="1:2" x14ac:dyDescent="0.25">
      <c r="B2127" s="18" t="s">
        <v>113</v>
      </c>
    </row>
    <row r="2128" spans="1:2" x14ac:dyDescent="0.25">
      <c r="B2128" s="18" t="s">
        <v>114</v>
      </c>
    </row>
    <row r="2129" spans="1:2" x14ac:dyDescent="0.25">
      <c r="B2129" s="18" t="s">
        <v>115</v>
      </c>
    </row>
    <row r="2130" spans="1:2" x14ac:dyDescent="0.25">
      <c r="B2130" s="18" t="s">
        <v>116</v>
      </c>
    </row>
    <row r="2131" spans="1:2" x14ac:dyDescent="0.25">
      <c r="B2131" s="18" t="s">
        <v>117</v>
      </c>
    </row>
    <row r="2132" spans="1:2" x14ac:dyDescent="0.25">
      <c r="B2132" s="18" t="s">
        <v>118</v>
      </c>
    </row>
    <row r="2133" spans="1:2" x14ac:dyDescent="0.25">
      <c r="B2133" s="18" t="s">
        <v>119</v>
      </c>
    </row>
    <row r="2134" spans="1:2" x14ac:dyDescent="0.25">
      <c r="B2134" s="18" t="s">
        <v>120</v>
      </c>
    </row>
    <row r="2135" spans="1:2" x14ac:dyDescent="0.25">
      <c r="B2135" s="18" t="s">
        <v>121</v>
      </c>
    </row>
    <row r="2136" spans="1:2" x14ac:dyDescent="0.25">
      <c r="A2136">
        <f>A2125+2</f>
        <v>230</v>
      </c>
      <c r="B2136" s="18" t="str" cm="1">
        <f t="array" aca="1" ref="B2136" ca="1">"#define MPU_NS_TYPE_IDX"&amp;A2123&amp;"   "&amp;"0x"&amp;DEC2HEX(HEX2DEC(INDIRECT("CONFIG_NS!A"&amp;INDIRECT("CONFIG_NS!A"&amp;(A2136))+264)),2)</f>
        <v>#define MPU_NS_TYPE_IDX6   0x01</v>
      </c>
    </row>
    <row r="2137" spans="1:2" x14ac:dyDescent="0.25">
      <c r="B2137" s="18" t="str">
        <f>"//   &lt;h&gt;if Type of Attr Idx "&amp;A2123&amp;" is NORMAL Memory"</f>
        <v>//   &lt;h&gt;if Type of Attr Idx 6 is NORMAL Memory</v>
      </c>
    </row>
    <row r="2138" spans="1:2" x14ac:dyDescent="0.25">
      <c r="B2138" s="18" t="s">
        <v>122</v>
      </c>
    </row>
    <row r="2139" spans="1:2" x14ac:dyDescent="0.25">
      <c r="B2139" s="18" t="s">
        <v>136</v>
      </c>
    </row>
    <row r="2140" spans="1:2" x14ac:dyDescent="0.25">
      <c r="B2140" s="18" t="s">
        <v>123</v>
      </c>
    </row>
    <row r="2141" spans="1:2" x14ac:dyDescent="0.25">
      <c r="B2141" s="18" t="s">
        <v>124</v>
      </c>
    </row>
    <row r="2142" spans="1:2" x14ac:dyDescent="0.25">
      <c r="B2142" s="18" t="s">
        <v>125</v>
      </c>
    </row>
    <row r="2143" spans="1:2" x14ac:dyDescent="0.25">
      <c r="B2143" s="18" t="s">
        <v>126</v>
      </c>
    </row>
    <row r="2144" spans="1:2" x14ac:dyDescent="0.25">
      <c r="A2144">
        <f>A2136+1</f>
        <v>231</v>
      </c>
      <c r="B2144" s="18" t="str" cm="1">
        <f t="array" aca="1" ref="B2144" ca="1">"#define MPU_NS_OC_POL_IDX"&amp;A2123&amp;" 0x"&amp;DEC2HEX(16*HEX2DEC(INDIRECT("CONFIG_NS!A"&amp;INDIRECT("CONFIG_NS!A"&amp;(A2144))+273)),2)</f>
        <v>#define MPU_NS_OC_POL_IDX6 0x10</v>
      </c>
    </row>
    <row r="2145" spans="1:2" x14ac:dyDescent="0.25">
      <c r="B2145" s="18" t="s">
        <v>127</v>
      </c>
    </row>
    <row r="2146" spans="1:2" x14ac:dyDescent="0.25">
      <c r="B2146" s="18" t="s">
        <v>137</v>
      </c>
    </row>
    <row r="2147" spans="1:2" x14ac:dyDescent="0.25">
      <c r="B2147" s="18" t="s">
        <v>128</v>
      </c>
    </row>
    <row r="2148" spans="1:2" x14ac:dyDescent="0.25">
      <c r="B2148" s="18" t="s">
        <v>129</v>
      </c>
    </row>
    <row r="2149" spans="1:2" x14ac:dyDescent="0.25">
      <c r="B2149" s="18" t="s">
        <v>130</v>
      </c>
    </row>
    <row r="2150" spans="1:2" x14ac:dyDescent="0.25">
      <c r="B2150" s="18" t="s">
        <v>131</v>
      </c>
    </row>
    <row r="2151" spans="1:2" x14ac:dyDescent="0.25">
      <c r="A2151">
        <f>A2144+3</f>
        <v>234</v>
      </c>
      <c r="B2151" s="18" t="str" cm="1">
        <f t="array" aca="1" ref="B2151" ca="1">"#define MPU_NS_IC_POL_IDX"&amp;A2123&amp;" 0x"&amp;DEC2HEX(HEX2DEC(INDIRECT("CONFIG_NS!A"&amp;INDIRECT("CONFIG_NS!A"&amp;(A2151))+273)),2)</f>
        <v>#define MPU_NS_IC_POL_IDX6 0x01</v>
      </c>
    </row>
    <row r="2152" spans="1:2" x14ac:dyDescent="0.25">
      <c r="B2152" s="18" t="s">
        <v>132</v>
      </c>
    </row>
    <row r="2153" spans="1:2" x14ac:dyDescent="0.25">
      <c r="B2153" s="18" t="s">
        <v>133</v>
      </c>
    </row>
    <row r="2154" spans="1:2" x14ac:dyDescent="0.25">
      <c r="A2154">
        <f>A2144+1</f>
        <v>232</v>
      </c>
      <c r="B2154" s="18" t="str" cm="1">
        <f t="array" aca="1" ref="B2154" ca="1">"#define MPU_NS_OC_RW_IDX"&amp;A2123&amp;"  0x"&amp;DEC2HEX((16*INDIRECT("CONFIG_NS!A"&amp;(A2154))+(32*INDIRECT("CONFIG_NS!A"&amp;(A2155)))),2)</f>
        <v>#define MPU_NS_OC_RW_IDX6  0x00</v>
      </c>
    </row>
    <row r="2155" spans="1:2" x14ac:dyDescent="0.25">
      <c r="A2155">
        <f>A2154+1</f>
        <v>233</v>
      </c>
      <c r="B2155" s="18" t="s">
        <v>134</v>
      </c>
    </row>
    <row r="2156" spans="1:2" x14ac:dyDescent="0.25">
      <c r="B2156" s="18" t="s">
        <v>135</v>
      </c>
    </row>
    <row r="2157" spans="1:2" x14ac:dyDescent="0.25">
      <c r="A2157">
        <f>A2151+1</f>
        <v>235</v>
      </c>
      <c r="B2157" s="18" t="str" cm="1">
        <f t="array" aca="1" ref="B2157" ca="1">"#define MPU_NS_IC_RW_IDX"&amp;A2123&amp;"  0x"&amp;DEC2HEX((1*INDIRECT("CONFIG_NS!A"&amp;(A2157))+(2*INDIRECT("CONFIG_NS!A"&amp;(A2158)))),2)</f>
        <v>#define MPU_NS_IC_RW_IDX6  0x00</v>
      </c>
    </row>
    <row r="2158" spans="1:2" x14ac:dyDescent="0.25">
      <c r="A2158">
        <f>A2157+1</f>
        <v>236</v>
      </c>
      <c r="B2158" s="18" t="str">
        <f>"//   &lt;/h&gt;   //if NORMAL Memory of IDX"&amp;A2123</f>
        <v>//   &lt;/h&gt;   //if NORMAL Memory of IDX6</v>
      </c>
    </row>
    <row r="2159" spans="1:2" x14ac:dyDescent="0.25">
      <c r="B2159" s="18" t="str">
        <f>"#if (MPU_NS_OC_POL_IDX"&amp;A2123&amp;" == 0x10)"</f>
        <v>#if (MPU_NS_OC_POL_IDX6 == 0x10)</v>
      </c>
    </row>
    <row r="2160" spans="1:2" x14ac:dyDescent="0.25">
      <c r="B2160" s="18" t="str">
        <f>"#define MPU_NS_OUTERCACHE_IDX"&amp;A2123&amp;"   0x40"</f>
        <v>#define MPU_NS_OUTERCACHE_IDX6   0x40</v>
      </c>
    </row>
    <row r="2161" spans="1:2" x14ac:dyDescent="0.25">
      <c r="B2161" s="18" t="s">
        <v>24</v>
      </c>
    </row>
    <row r="2162" spans="1:2" x14ac:dyDescent="0.25">
      <c r="B2162" s="18" t="str">
        <f>"#define MPU_NS_OUTERCACHE_IDX"&amp;A2123&amp;"   (MPU_NS_OC_POL_IDX"&amp;A2123&amp;" | MPU_NS_OC_RW_IDX"&amp;A2123&amp;")"</f>
        <v>#define MPU_NS_OUTERCACHE_IDX6   (MPU_NS_OC_POL_IDX6 | MPU_NS_OC_RW_IDX6)</v>
      </c>
    </row>
    <row r="2163" spans="1:2" x14ac:dyDescent="0.25">
      <c r="B2163" s="18" t="s">
        <v>25</v>
      </c>
    </row>
    <row r="2164" spans="1:2" x14ac:dyDescent="0.25">
      <c r="B2164" s="18" t="str">
        <f>"#if (MPU_NS_IC_POL_IDX"&amp;A2123&amp;" == 0x01)"</f>
        <v>#if (MPU_NS_IC_POL_IDX6 == 0x01)</v>
      </c>
    </row>
    <row r="2165" spans="1:2" x14ac:dyDescent="0.25">
      <c r="B2165" s="18" t="str">
        <f>"#define MPU_NS_INNERCACHE_IDX"&amp;A2123&amp;"   0x04"</f>
        <v>#define MPU_NS_INNERCACHE_IDX6   0x04</v>
      </c>
    </row>
    <row r="2166" spans="1:2" x14ac:dyDescent="0.25">
      <c r="B2166" s="18" t="s">
        <v>24</v>
      </c>
    </row>
    <row r="2167" spans="1:2" x14ac:dyDescent="0.25">
      <c r="B2167" s="18" t="str">
        <f>"#define MPU_NS_INNERCACHE_IDX"&amp;A2123&amp;"   (MPU_NS_IC_POL_IDX"&amp;A2123&amp;" | MPU_NS_IC_RW_IDX"&amp;A2123&amp;")"</f>
        <v>#define MPU_NS_INNERCACHE_IDX6   (MPU_NS_IC_POL_IDX6 | MPU_NS_IC_RW_IDX6)</v>
      </c>
    </row>
    <row r="2168" spans="1:2" x14ac:dyDescent="0.25">
      <c r="B2168" s="18" t="s">
        <v>25</v>
      </c>
    </row>
    <row r="2169" spans="1:2" x14ac:dyDescent="0.25">
      <c r="B2169" s="18" t="str">
        <f>"#if (MPU_NS_TYPE_IDX"&amp;A2123&amp;" == 0x01)"</f>
        <v>#if (MPU_NS_TYPE_IDX6 == 0x01)</v>
      </c>
    </row>
    <row r="2170" spans="1:2" x14ac:dyDescent="0.25">
      <c r="B2170" s="18" t="str">
        <f>"#define MPU_NS_VAL_IDX"&amp;A2123&amp;"   (MPU_NS_OUTERCACHE_IDX"&amp;A2123&amp;" | MPU_NS_INNERCACHE_IDX"&amp;A2123&amp;")"</f>
        <v>#define MPU_NS_VAL_IDX6   (MPU_NS_OUTERCACHE_IDX6 | MPU_NS_INNERCACHE_IDX6)</v>
      </c>
    </row>
    <row r="2171" spans="1:2" x14ac:dyDescent="0.25">
      <c r="B2171" s="18" t="s">
        <v>24</v>
      </c>
    </row>
    <row r="2172" spans="1:2" x14ac:dyDescent="0.25">
      <c r="B2172" s="18" t="str">
        <f>"#define MPU_NS_VAL_IDX"&amp;A2123&amp;"   MPU_NS_TYPE_IDX"&amp;A2123&amp;""</f>
        <v>#define MPU_NS_VAL_IDX6   MPU_NS_TYPE_IDX6</v>
      </c>
    </row>
    <row r="2173" spans="1:2" x14ac:dyDescent="0.25">
      <c r="B2173" s="18" t="s">
        <v>25</v>
      </c>
    </row>
    <row r="2174" spans="1:2" x14ac:dyDescent="0.25">
      <c r="B2174" s="18" t="str">
        <f>"//   &lt;/e&gt;   //MPU_NS Attr Idx "&amp;A2123</f>
        <v>//   &lt;/e&gt;   //MPU_NS Attr Idx 6</v>
      </c>
    </row>
    <row r="2175" spans="1:2" x14ac:dyDescent="0.25">
      <c r="A2175" s="27">
        <f>A2123+1</f>
        <v>7</v>
      </c>
      <c r="B2175" s="18" t="str">
        <f>"// MPU_NS IDX "&amp;A2175&amp;" ********************************"</f>
        <v>// MPU_NS IDX 7 ********************************</v>
      </c>
    </row>
    <row r="2176" spans="1:2" x14ac:dyDescent="0.25">
      <c r="B2176" s="18" t="str">
        <f>"//   &lt;e&gt;Initialize MPU_NS Attr Idx "&amp;A2175</f>
        <v>//   &lt;e&gt;Initialize MPU_NS Attr Idx 7</v>
      </c>
    </row>
    <row r="2177" spans="1:2" x14ac:dyDescent="0.25">
      <c r="A2177" s="27">
        <f>A2125+10</f>
        <v>238</v>
      </c>
      <c r="B2177" s="18" t="str">
        <f ca="1">"#define MPU_NS_INIT_IDX"&amp;A2175&amp;"   "&amp;N(INDIRECT("CONFIG_NS!A"&amp;A2177))</f>
        <v>#define MPU_NS_INIT_IDX7   0</v>
      </c>
    </row>
    <row r="2178" spans="1:2" x14ac:dyDescent="0.25">
      <c r="B2178" s="18" t="str">
        <f>"//   &lt;o&gt;Memory Access Type of Attr Idx "&amp;A2175</f>
        <v>//   &lt;o&gt;Memory Access Type of Attr Idx 7</v>
      </c>
    </row>
    <row r="2179" spans="1:2" x14ac:dyDescent="0.25">
      <c r="B2179" s="18" t="s">
        <v>113</v>
      </c>
    </row>
    <row r="2180" spans="1:2" x14ac:dyDescent="0.25">
      <c r="B2180" s="18" t="s">
        <v>114</v>
      </c>
    </row>
    <row r="2181" spans="1:2" x14ac:dyDescent="0.25">
      <c r="B2181" s="18" t="s">
        <v>115</v>
      </c>
    </row>
    <row r="2182" spans="1:2" x14ac:dyDescent="0.25">
      <c r="B2182" s="18" t="s">
        <v>116</v>
      </c>
    </row>
    <row r="2183" spans="1:2" x14ac:dyDescent="0.25">
      <c r="B2183" s="18" t="s">
        <v>117</v>
      </c>
    </row>
    <row r="2184" spans="1:2" x14ac:dyDescent="0.25">
      <c r="B2184" s="18" t="s">
        <v>118</v>
      </c>
    </row>
    <row r="2185" spans="1:2" x14ac:dyDescent="0.25">
      <c r="B2185" s="18" t="s">
        <v>119</v>
      </c>
    </row>
    <row r="2186" spans="1:2" x14ac:dyDescent="0.25">
      <c r="B2186" s="18" t="s">
        <v>120</v>
      </c>
    </row>
    <row r="2187" spans="1:2" x14ac:dyDescent="0.25">
      <c r="B2187" s="18" t="s">
        <v>121</v>
      </c>
    </row>
    <row r="2188" spans="1:2" x14ac:dyDescent="0.25">
      <c r="A2188">
        <f>A2177+2</f>
        <v>240</v>
      </c>
      <c r="B2188" s="18" t="str" cm="1">
        <f t="array" aca="1" ref="B2188" ca="1">"#define MPU_NS_TYPE_IDX"&amp;A2175&amp;"   "&amp;"0x"&amp;DEC2HEX(HEX2DEC(INDIRECT("CONFIG_NS!A"&amp;INDIRECT("CONFIG_NS!A"&amp;(A2188))+264)),2)</f>
        <v>#define MPU_NS_TYPE_IDX7   0x01</v>
      </c>
    </row>
    <row r="2189" spans="1:2" x14ac:dyDescent="0.25">
      <c r="B2189" s="18" t="str">
        <f>"//   &lt;h&gt;if Type of Attr Idx "&amp;A2175&amp;" is NORMAL Memory"</f>
        <v>//   &lt;h&gt;if Type of Attr Idx 7 is NORMAL Memory</v>
      </c>
    </row>
    <row r="2190" spans="1:2" x14ac:dyDescent="0.25">
      <c r="B2190" s="18" t="s">
        <v>122</v>
      </c>
    </row>
    <row r="2191" spans="1:2" x14ac:dyDescent="0.25">
      <c r="B2191" s="18" t="s">
        <v>136</v>
      </c>
    </row>
    <row r="2192" spans="1:2" x14ac:dyDescent="0.25">
      <c r="B2192" s="18" t="s">
        <v>123</v>
      </c>
    </row>
    <row r="2193" spans="1:2" x14ac:dyDescent="0.25">
      <c r="B2193" s="18" t="s">
        <v>124</v>
      </c>
    </row>
    <row r="2194" spans="1:2" x14ac:dyDescent="0.25">
      <c r="B2194" s="18" t="s">
        <v>125</v>
      </c>
    </row>
    <row r="2195" spans="1:2" x14ac:dyDescent="0.25">
      <c r="B2195" s="18" t="s">
        <v>126</v>
      </c>
    </row>
    <row r="2196" spans="1:2" x14ac:dyDescent="0.25">
      <c r="A2196">
        <f>A2188+1</f>
        <v>241</v>
      </c>
      <c r="B2196" s="18" t="str" cm="1">
        <f t="array" aca="1" ref="B2196" ca="1">"#define MPU_NS_OC_POL_IDX"&amp;A2175&amp;" 0x"&amp;DEC2HEX(16*HEX2DEC(INDIRECT("CONFIG_NS!A"&amp;INDIRECT("CONFIG_NS!A"&amp;(A2196))+273)),2)</f>
        <v>#define MPU_NS_OC_POL_IDX7 0x10</v>
      </c>
    </row>
    <row r="2197" spans="1:2" x14ac:dyDescent="0.25">
      <c r="B2197" s="18" t="s">
        <v>127</v>
      </c>
    </row>
    <row r="2198" spans="1:2" x14ac:dyDescent="0.25">
      <c r="B2198" s="18" t="s">
        <v>137</v>
      </c>
    </row>
    <row r="2199" spans="1:2" x14ac:dyDescent="0.25">
      <c r="B2199" s="18" t="s">
        <v>128</v>
      </c>
    </row>
    <row r="2200" spans="1:2" x14ac:dyDescent="0.25">
      <c r="B2200" s="18" t="s">
        <v>129</v>
      </c>
    </row>
    <row r="2201" spans="1:2" x14ac:dyDescent="0.25">
      <c r="B2201" s="18" t="s">
        <v>130</v>
      </c>
    </row>
    <row r="2202" spans="1:2" x14ac:dyDescent="0.25">
      <c r="B2202" s="18" t="s">
        <v>131</v>
      </c>
    </row>
    <row r="2203" spans="1:2" x14ac:dyDescent="0.25">
      <c r="A2203">
        <f>A2196+3</f>
        <v>244</v>
      </c>
      <c r="B2203" s="18" t="str" cm="1">
        <f t="array" aca="1" ref="B2203" ca="1">"#define MPU_NS_IC_POL_IDX"&amp;A2175&amp;" 0x"&amp;DEC2HEX(HEX2DEC(INDIRECT("CONFIG_NS!A"&amp;INDIRECT("CONFIG_NS!A"&amp;(A2203))+273)),2)</f>
        <v>#define MPU_NS_IC_POL_IDX7 0x01</v>
      </c>
    </row>
    <row r="2204" spans="1:2" x14ac:dyDescent="0.25">
      <c r="B2204" s="18" t="s">
        <v>132</v>
      </c>
    </row>
    <row r="2205" spans="1:2" x14ac:dyDescent="0.25">
      <c r="B2205" s="18" t="s">
        <v>133</v>
      </c>
    </row>
    <row r="2206" spans="1:2" x14ac:dyDescent="0.25">
      <c r="A2206">
        <f>A2196+1</f>
        <v>242</v>
      </c>
      <c r="B2206" s="18" t="str" cm="1">
        <f t="array" aca="1" ref="B2206" ca="1">"#define MPU_NS_OC_RW_IDX"&amp;A2175&amp;"  0x"&amp;DEC2HEX((16*INDIRECT("CONFIG_NS!A"&amp;(A2206))+(32*INDIRECT("CONFIG_NS!A"&amp;(A2207)))),2)</f>
        <v>#define MPU_NS_OC_RW_IDX7  0x00</v>
      </c>
    </row>
    <row r="2207" spans="1:2" x14ac:dyDescent="0.25">
      <c r="A2207">
        <f>A2206+1</f>
        <v>243</v>
      </c>
      <c r="B2207" s="18" t="s">
        <v>134</v>
      </c>
    </row>
    <row r="2208" spans="1:2" x14ac:dyDescent="0.25">
      <c r="B2208" s="18" t="s">
        <v>135</v>
      </c>
    </row>
    <row r="2209" spans="1:2" x14ac:dyDescent="0.25">
      <c r="A2209">
        <f>A2203+1</f>
        <v>245</v>
      </c>
      <c r="B2209" s="18" t="str" cm="1">
        <f t="array" aca="1" ref="B2209" ca="1">"#define MPU_NS_IC_RW_IDX"&amp;A2175&amp;"  0x"&amp;DEC2HEX((1*INDIRECT("CONFIG_NS!A"&amp;(A2209))+(2*INDIRECT("CONFIG_NS!A"&amp;(A2210)))),2)</f>
        <v>#define MPU_NS_IC_RW_IDX7  0x00</v>
      </c>
    </row>
    <row r="2210" spans="1:2" x14ac:dyDescent="0.25">
      <c r="A2210">
        <f>A2209+1</f>
        <v>246</v>
      </c>
      <c r="B2210" s="18" t="str">
        <f>"//   &lt;/h&gt;   //if NORMAL Memory of IDX"&amp;A2175</f>
        <v>//   &lt;/h&gt;   //if NORMAL Memory of IDX7</v>
      </c>
    </row>
    <row r="2211" spans="1:2" x14ac:dyDescent="0.25">
      <c r="B2211" s="18" t="str">
        <f>"#if (MPU_NS_OC_POL_IDX"&amp;A2175&amp;" == 0x10)"</f>
        <v>#if (MPU_NS_OC_POL_IDX7 == 0x10)</v>
      </c>
    </row>
    <row r="2212" spans="1:2" x14ac:dyDescent="0.25">
      <c r="B2212" s="18" t="str">
        <f>"#define MPU_NS_OUTERCACHE_IDX"&amp;A2175&amp;"   0x40"</f>
        <v>#define MPU_NS_OUTERCACHE_IDX7   0x40</v>
      </c>
    </row>
    <row r="2213" spans="1:2" x14ac:dyDescent="0.25">
      <c r="B2213" s="18" t="s">
        <v>24</v>
      </c>
    </row>
    <row r="2214" spans="1:2" x14ac:dyDescent="0.25">
      <c r="B2214" s="18" t="str">
        <f>"#define MPU_NS_OUTERCACHE_IDX"&amp;A2175&amp;"   (MPU_NS_OC_POL_IDX"&amp;A2175&amp;" | MPU_NS_OC_RW_IDX"&amp;A2175&amp;")"</f>
        <v>#define MPU_NS_OUTERCACHE_IDX7   (MPU_NS_OC_POL_IDX7 | MPU_NS_OC_RW_IDX7)</v>
      </c>
    </row>
    <row r="2215" spans="1:2" x14ac:dyDescent="0.25">
      <c r="B2215" s="18" t="s">
        <v>25</v>
      </c>
    </row>
    <row r="2216" spans="1:2" x14ac:dyDescent="0.25">
      <c r="B2216" s="18" t="str">
        <f>"#if (MPU_NS_IC_POL_IDX"&amp;A2175&amp;" == 0x01)"</f>
        <v>#if (MPU_NS_IC_POL_IDX7 == 0x01)</v>
      </c>
    </row>
    <row r="2217" spans="1:2" x14ac:dyDescent="0.25">
      <c r="B2217" s="18" t="str">
        <f>"#define MPU_NS_INNERCACHE_IDX"&amp;A2175&amp;"   0x04"</f>
        <v>#define MPU_NS_INNERCACHE_IDX7   0x04</v>
      </c>
    </row>
    <row r="2218" spans="1:2" x14ac:dyDescent="0.25">
      <c r="B2218" s="18" t="s">
        <v>24</v>
      </c>
    </row>
    <row r="2219" spans="1:2" x14ac:dyDescent="0.25">
      <c r="B2219" s="18" t="str">
        <f>"#define MPU_NS_INNERCACHE_IDX"&amp;A2175&amp;"   (MPU_NS_IC_POL_IDX"&amp;A2175&amp;" | MPU_NS_IC_RW_IDX"&amp;A2175&amp;")"</f>
        <v>#define MPU_NS_INNERCACHE_IDX7   (MPU_NS_IC_POL_IDX7 | MPU_NS_IC_RW_IDX7)</v>
      </c>
    </row>
    <row r="2220" spans="1:2" x14ac:dyDescent="0.25">
      <c r="B2220" s="18" t="s">
        <v>25</v>
      </c>
    </row>
    <row r="2221" spans="1:2" x14ac:dyDescent="0.25">
      <c r="B2221" s="18" t="str">
        <f>"#if (MPU_NS_TYPE_IDX"&amp;A2175&amp;" == 0x01)"</f>
        <v>#if (MPU_NS_TYPE_IDX7 == 0x01)</v>
      </c>
    </row>
    <row r="2222" spans="1:2" x14ac:dyDescent="0.25">
      <c r="B2222" s="18" t="str">
        <f>"#define MPU_NS_VAL_IDX"&amp;A2175&amp;"   (MPU_NS_OUTERCACHE_IDX"&amp;A2175&amp;" | MPU_NS_INNERCACHE_IDX"&amp;A2175&amp;")"</f>
        <v>#define MPU_NS_VAL_IDX7   (MPU_NS_OUTERCACHE_IDX7 | MPU_NS_INNERCACHE_IDX7)</v>
      </c>
    </row>
    <row r="2223" spans="1:2" x14ac:dyDescent="0.25">
      <c r="B2223" s="18" t="s">
        <v>24</v>
      </c>
    </row>
    <row r="2224" spans="1:2" x14ac:dyDescent="0.25">
      <c r="B2224" s="18" t="str">
        <f>"#define MPU_NS_VAL_IDX"&amp;A2175&amp;"   MPU_NS_TYPE_IDX"&amp;A2175&amp;""</f>
        <v>#define MPU_NS_VAL_IDX7   MPU_NS_TYPE_IDX7</v>
      </c>
    </row>
    <row r="2225" spans="2:2" x14ac:dyDescent="0.25">
      <c r="B2225" s="18" t="s">
        <v>25</v>
      </c>
    </row>
    <row r="2226" spans="2:2" x14ac:dyDescent="0.25">
      <c r="B2226" s="18" t="str">
        <f>"//   &lt;/e&gt;   //MPU_NS Attr Idx "&amp;A2175</f>
        <v>//   &lt;/e&gt;   //MPU_NS Attr Idx 7</v>
      </c>
    </row>
    <row r="2227" spans="2:2" x14ac:dyDescent="0.25">
      <c r="B2227" s="18" t="s">
        <v>256</v>
      </c>
    </row>
    <row r="2228" spans="2:2" x14ac:dyDescent="0.25">
      <c r="B2228" s="18" t="s">
        <v>255</v>
      </c>
    </row>
    <row r="2229" spans="2:2" x14ac:dyDescent="0.25">
      <c r="B2229" s="18" t="s">
        <v>138</v>
      </c>
    </row>
    <row r="2230" spans="2:2" x14ac:dyDescent="0.25">
      <c r="B2230" s="18" t="s">
        <v>0</v>
      </c>
    </row>
    <row r="2231" spans="2:2" x14ac:dyDescent="0.25">
      <c r="B2231" s="18" t="s">
        <v>223</v>
      </c>
    </row>
    <row r="2232" spans="2:2" x14ac:dyDescent="0.25">
      <c r="B2232" s="18" t="s">
        <v>0</v>
      </c>
    </row>
    <row r="2233" spans="2:2" x14ac:dyDescent="0.25">
      <c r="B2233" s="18" t="s">
        <v>246</v>
      </c>
    </row>
    <row r="2234" spans="2:2" x14ac:dyDescent="0.25">
      <c r="B2234" s="18" t="s">
        <v>195</v>
      </c>
    </row>
    <row r="2235" spans="2:2" x14ac:dyDescent="0.25">
      <c r="B2235" s="18" t="s">
        <v>144</v>
      </c>
    </row>
    <row r="2236" spans="2:2" x14ac:dyDescent="0.25">
      <c r="B2236" s="18" t="s">
        <v>145</v>
      </c>
    </row>
    <row r="2237" spans="2:2" x14ac:dyDescent="0.25">
      <c r="B2237" s="18" t="s">
        <v>64</v>
      </c>
    </row>
    <row r="2238" spans="2:2" x14ac:dyDescent="0.25">
      <c r="B2238" s="18" t="s">
        <v>224</v>
      </c>
    </row>
    <row r="2239" spans="2:2" x14ac:dyDescent="0.25">
      <c r="B2239" s="18" t="s">
        <v>225</v>
      </c>
    </row>
    <row r="2240" spans="2:2" x14ac:dyDescent="0.25">
      <c r="B2240" s="18" t="s">
        <v>146</v>
      </c>
    </row>
    <row r="2241" spans="2:2" x14ac:dyDescent="0.25">
      <c r="B2241" s="18" t="s">
        <v>177</v>
      </c>
    </row>
    <row r="2242" spans="2:2" x14ac:dyDescent="0.25">
      <c r="B2242" s="18" t="s">
        <v>218</v>
      </c>
    </row>
    <row r="2243" spans="2:2" x14ac:dyDescent="0.25">
      <c r="B2243" s="18" t="s">
        <v>145</v>
      </c>
    </row>
    <row r="2244" spans="2:2" x14ac:dyDescent="0.25">
      <c r="B2244" s="18" t="s">
        <v>178</v>
      </c>
    </row>
    <row r="2245" spans="2:2" x14ac:dyDescent="0.25">
      <c r="B2245" s="18" t="s">
        <v>226</v>
      </c>
    </row>
    <row r="2246" spans="2:2" x14ac:dyDescent="0.25">
      <c r="B2246" s="18" t="s">
        <v>227</v>
      </c>
    </row>
    <row r="2247" spans="2:2" x14ac:dyDescent="0.25">
      <c r="B2247" s="18" t="s">
        <v>146</v>
      </c>
    </row>
    <row r="2248" spans="2:2" x14ac:dyDescent="0.25">
      <c r="B2248" s="18" t="s">
        <v>247</v>
      </c>
    </row>
    <row r="2249" spans="2:2" x14ac:dyDescent="0.25">
      <c r="B2249" s="18" t="s">
        <v>195</v>
      </c>
    </row>
    <row r="2250" spans="2:2" x14ac:dyDescent="0.25">
      <c r="B2250" s="18" t="s">
        <v>144</v>
      </c>
    </row>
    <row r="2251" spans="2:2" x14ac:dyDescent="0.25">
      <c r="B2251" s="18" t="s">
        <v>145</v>
      </c>
    </row>
    <row r="2252" spans="2:2" x14ac:dyDescent="0.25">
      <c r="B2252" s="18" t="s">
        <v>64</v>
      </c>
    </row>
    <row r="2253" spans="2:2" x14ac:dyDescent="0.25">
      <c r="B2253" s="18" t="s">
        <v>224</v>
      </c>
    </row>
    <row r="2254" spans="2:2" x14ac:dyDescent="0.25">
      <c r="B2254" s="18" t="s">
        <v>248</v>
      </c>
    </row>
    <row r="2255" spans="2:2" x14ac:dyDescent="0.25">
      <c r="B2255" s="18" t="s">
        <v>146</v>
      </c>
    </row>
    <row r="2256" spans="2:2" x14ac:dyDescent="0.25">
      <c r="B2256" s="18" t="s">
        <v>177</v>
      </c>
    </row>
    <row r="2257" spans="2:2" x14ac:dyDescent="0.25">
      <c r="B2257" s="18" t="s">
        <v>218</v>
      </c>
    </row>
    <row r="2258" spans="2:2" x14ac:dyDescent="0.25">
      <c r="B2258" s="18" t="s">
        <v>145</v>
      </c>
    </row>
    <row r="2259" spans="2:2" x14ac:dyDescent="0.25">
      <c r="B2259" s="18" t="s">
        <v>178</v>
      </c>
    </row>
    <row r="2260" spans="2:2" x14ac:dyDescent="0.25">
      <c r="B2260" s="18" t="s">
        <v>226</v>
      </c>
    </row>
    <row r="2261" spans="2:2" x14ac:dyDescent="0.25">
      <c r="B2261" s="18" t="s">
        <v>249</v>
      </c>
    </row>
    <row r="2262" spans="2:2" x14ac:dyDescent="0.25">
      <c r="B2262" s="18" t="s">
        <v>146</v>
      </c>
    </row>
    <row r="2263" spans="2:2" x14ac:dyDescent="0.25">
      <c r="B2263" s="18" t="s">
        <v>250</v>
      </c>
    </row>
    <row r="2264" spans="2:2" x14ac:dyDescent="0.25">
      <c r="B2264" s="18" t="s">
        <v>138</v>
      </c>
    </row>
    <row r="2265" spans="2:2" x14ac:dyDescent="0.25">
      <c r="B2265" s="18" t="s">
        <v>199</v>
      </c>
    </row>
    <row r="2266" spans="2:2" x14ac:dyDescent="0.25">
      <c r="B2266" s="18" t="s">
        <v>173</v>
      </c>
    </row>
    <row r="2267" spans="2:2" x14ac:dyDescent="0.25">
      <c r="B2267" s="18" t="s">
        <v>63</v>
      </c>
    </row>
    <row r="2268" spans="2:2" x14ac:dyDescent="0.25">
      <c r="B2268" s="18" t="s">
        <v>31</v>
      </c>
    </row>
    <row r="2269" spans="2:2" x14ac:dyDescent="0.25">
      <c r="B2269" s="18" t="s">
        <v>219</v>
      </c>
    </row>
    <row r="2270" spans="2:2" x14ac:dyDescent="0.25">
      <c r="B2270" s="18" t="s">
        <v>200</v>
      </c>
    </row>
    <row r="2271" spans="2:2" x14ac:dyDescent="0.25">
      <c r="B2271" s="18" t="s">
        <v>30</v>
      </c>
    </row>
    <row r="2272" spans="2:2" x14ac:dyDescent="0.25">
      <c r="B2272" s="18" t="s">
        <v>207</v>
      </c>
    </row>
    <row r="2273" spans="1:2" x14ac:dyDescent="0.25">
      <c r="A2273">
        <v>0</v>
      </c>
      <c r="B2273" s="18" t="str">
        <f>"  #if defined (MPU_S_INIT_IDX"&amp;A2273&amp;") &amp;&amp; (MPU_S_INIT_IDX"&amp;A2273&amp;" == 1U)"</f>
        <v xml:space="preserve">  #if defined (MPU_S_INIT_IDX0) &amp;&amp; (MPU_S_INIT_IDX0 == 1U)</v>
      </c>
    </row>
    <row r="2274" spans="1:2" x14ac:dyDescent="0.25">
      <c r="B2274" s="18" t="str">
        <f>"    ARM_MPU_SetMemAttr("&amp;A2273&amp;",MPU_S_VAL_IDX"&amp;A2273&amp;");"</f>
        <v xml:space="preserve">    ARM_MPU_SetMemAttr(0,MPU_S_VAL_IDX0);</v>
      </c>
    </row>
    <row r="2275" spans="1:2" x14ac:dyDescent="0.25">
      <c r="B2275" s="18" t="s">
        <v>32</v>
      </c>
    </row>
    <row r="2276" spans="1:2" x14ac:dyDescent="0.25">
      <c r="A2276">
        <f>A2273+1</f>
        <v>1</v>
      </c>
      <c r="B2276" s="18" t="str">
        <f>"  #if defined (MPU_S_INIT_IDX"&amp;A2276&amp;") &amp;&amp; (MPU_S_INIT_IDX"&amp;A2276&amp;" == 1U)"</f>
        <v xml:space="preserve">  #if defined (MPU_S_INIT_IDX1) &amp;&amp; (MPU_S_INIT_IDX1 == 1U)</v>
      </c>
    </row>
    <row r="2277" spans="1:2" x14ac:dyDescent="0.25">
      <c r="B2277" s="18" t="str">
        <f>"    ARM_MPU_SetMemAttr("&amp;A2276&amp;",MPU_S_VAL_IDX"&amp;A2276&amp;");"</f>
        <v xml:space="preserve">    ARM_MPU_SetMemAttr(1,MPU_S_VAL_IDX1);</v>
      </c>
    </row>
    <row r="2278" spans="1:2" x14ac:dyDescent="0.25">
      <c r="B2278" s="18" t="s">
        <v>32</v>
      </c>
    </row>
    <row r="2279" spans="1:2" x14ac:dyDescent="0.25">
      <c r="A2279">
        <f>A2276+1</f>
        <v>2</v>
      </c>
      <c r="B2279" s="18" t="str">
        <f>"  #if defined (MPU_S_INIT_IDX"&amp;A2279&amp;") &amp;&amp; (MPU_S_INIT_IDX"&amp;A2279&amp;" == 1U)"</f>
        <v xml:space="preserve">  #if defined (MPU_S_INIT_IDX2) &amp;&amp; (MPU_S_INIT_IDX2 == 1U)</v>
      </c>
    </row>
    <row r="2280" spans="1:2" x14ac:dyDescent="0.25">
      <c r="B2280" s="18" t="str">
        <f>"    ARM_MPU_SetMemAttr("&amp;A2279&amp;",MPU_S_VAL_IDX"&amp;A2279&amp;");"</f>
        <v xml:space="preserve">    ARM_MPU_SetMemAttr(2,MPU_S_VAL_IDX2);</v>
      </c>
    </row>
    <row r="2281" spans="1:2" x14ac:dyDescent="0.25">
      <c r="B2281" s="18" t="s">
        <v>32</v>
      </c>
    </row>
    <row r="2282" spans="1:2" x14ac:dyDescent="0.25">
      <c r="A2282">
        <f>A2279+1</f>
        <v>3</v>
      </c>
      <c r="B2282" s="18" t="str">
        <f>"  #if defined (MPU_S_INIT_IDX"&amp;A2282&amp;") &amp;&amp; (MPU_S_INIT_IDX"&amp;A2282&amp;" == 1U)"</f>
        <v xml:space="preserve">  #if defined (MPU_S_INIT_IDX3) &amp;&amp; (MPU_S_INIT_IDX3 == 1U)</v>
      </c>
    </row>
    <row r="2283" spans="1:2" x14ac:dyDescent="0.25">
      <c r="B2283" s="18" t="str">
        <f>"    ARM_MPU_SetMemAttr("&amp;A2282&amp;",MPU_S_VAL_IDX"&amp;A2282&amp;");"</f>
        <v xml:space="preserve">    ARM_MPU_SetMemAttr(3,MPU_S_VAL_IDX3);</v>
      </c>
    </row>
    <row r="2284" spans="1:2" x14ac:dyDescent="0.25">
      <c r="B2284" s="18" t="s">
        <v>32</v>
      </c>
    </row>
    <row r="2285" spans="1:2" x14ac:dyDescent="0.25">
      <c r="A2285">
        <f>A2282+1</f>
        <v>4</v>
      </c>
      <c r="B2285" s="18" t="str">
        <f>"  #if defined (MPU_S_INIT_IDX"&amp;A2285&amp;") &amp;&amp; (MPU_S_INIT_IDX"&amp;A2285&amp;" == 1U)"</f>
        <v xml:space="preserve">  #if defined (MPU_S_INIT_IDX4) &amp;&amp; (MPU_S_INIT_IDX4 == 1U)</v>
      </c>
    </row>
    <row r="2286" spans="1:2" x14ac:dyDescent="0.25">
      <c r="B2286" s="18" t="str">
        <f>"    ARM_MPU_SetMemAttr("&amp;A2285&amp;",MPU_S_VAL_IDX"&amp;A2285&amp;");"</f>
        <v xml:space="preserve">    ARM_MPU_SetMemAttr(4,MPU_S_VAL_IDX4);</v>
      </c>
    </row>
    <row r="2287" spans="1:2" x14ac:dyDescent="0.25">
      <c r="B2287" s="18" t="s">
        <v>32</v>
      </c>
    </row>
    <row r="2288" spans="1:2" x14ac:dyDescent="0.25">
      <c r="A2288">
        <f>A2285+1</f>
        <v>5</v>
      </c>
      <c r="B2288" s="18" t="str">
        <f>"  #if defined (MPU_S_INIT_IDX"&amp;A2288&amp;") &amp;&amp; (MPU_S_INIT_IDX"&amp;A2288&amp;" == 1U)"</f>
        <v xml:space="preserve">  #if defined (MPU_S_INIT_IDX5) &amp;&amp; (MPU_S_INIT_IDX5 == 1U)</v>
      </c>
    </row>
    <row r="2289" spans="1:2" x14ac:dyDescent="0.25">
      <c r="B2289" s="18" t="str">
        <f>"    ARM_MPU_SetMemAttr("&amp;A2288&amp;",MPU_S_VAL_IDX"&amp;A2288&amp;");"</f>
        <v xml:space="preserve">    ARM_MPU_SetMemAttr(5,MPU_S_VAL_IDX5);</v>
      </c>
    </row>
    <row r="2290" spans="1:2" x14ac:dyDescent="0.25">
      <c r="B2290" s="18" t="s">
        <v>32</v>
      </c>
    </row>
    <row r="2291" spans="1:2" x14ac:dyDescent="0.25">
      <c r="A2291">
        <f>A2288+1</f>
        <v>6</v>
      </c>
      <c r="B2291" s="18" t="str">
        <f>"  #if defined (MPU_S_INIT_IDX"&amp;A2291&amp;") &amp;&amp; (MPU_S_INIT_IDX"&amp;A2291&amp;" == 1U)"</f>
        <v xml:space="preserve">  #if defined (MPU_S_INIT_IDX6) &amp;&amp; (MPU_S_INIT_IDX6 == 1U)</v>
      </c>
    </row>
    <row r="2292" spans="1:2" x14ac:dyDescent="0.25">
      <c r="B2292" s="18" t="str">
        <f>"    ARM_MPU_SetMemAttr("&amp;A2291&amp;",MPU_S_VAL_IDX"&amp;A2291&amp;");"</f>
        <v xml:space="preserve">    ARM_MPU_SetMemAttr(6,MPU_S_VAL_IDX6);</v>
      </c>
    </row>
    <row r="2293" spans="1:2" x14ac:dyDescent="0.25">
      <c r="B2293" s="18" t="s">
        <v>32</v>
      </c>
    </row>
    <row r="2294" spans="1:2" x14ac:dyDescent="0.25">
      <c r="A2294">
        <f>A2291+1</f>
        <v>7</v>
      </c>
      <c r="B2294" s="18" t="str">
        <f>"  #if defined (MPU_S_INIT_IDX"&amp;A2294&amp;") &amp;&amp; (MPU_S_INIT_IDX"&amp;A2294&amp;" == 1U)"</f>
        <v xml:space="preserve">  #if defined (MPU_S_INIT_IDX7) &amp;&amp; (MPU_S_INIT_IDX7 == 1U)</v>
      </c>
    </row>
    <row r="2295" spans="1:2" x14ac:dyDescent="0.25">
      <c r="B2295" s="18" t="str">
        <f>"    ARM_MPU_SetMemAttr("&amp;A2294&amp;",MPU_S_VAL_IDX"&amp;A2294&amp;");"</f>
        <v xml:space="preserve">    ARM_MPU_SetMemAttr(7,MPU_S_VAL_IDX7);</v>
      </c>
    </row>
    <row r="2296" spans="1:2" x14ac:dyDescent="0.25">
      <c r="B2296" s="18" t="s">
        <v>32</v>
      </c>
    </row>
    <row r="2297" spans="1:2" x14ac:dyDescent="0.25">
      <c r="B2297" s="18" t="s">
        <v>112</v>
      </c>
    </row>
    <row r="2298" spans="1:2" x14ac:dyDescent="0.25">
      <c r="A2298">
        <v>0</v>
      </c>
      <c r="B2298" s="18" t="str">
        <f>"  #if defined (MPU_S_CONFIG_REG"&amp;A2298&amp;") &amp;&amp; (MPU_S_CONFIG_REG"&amp;A2298&amp;" == 1U)"</f>
        <v xml:space="preserve">  #if defined (MPU_S_CONFIG_REG0) &amp;&amp; (MPU_S_CONFIG_REG0 == 1U)</v>
      </c>
    </row>
    <row r="2299" spans="1:2" x14ac:dyDescent="0.25">
      <c r="B2299" s="18" t="str">
        <f>"    MPU_S_CONFIG_REGION("&amp;A2298&amp;");"</f>
        <v xml:space="preserve">    MPU_S_CONFIG_REGION(0);</v>
      </c>
    </row>
    <row r="2300" spans="1:2" x14ac:dyDescent="0.25">
      <c r="B2300" s="18" t="s">
        <v>32</v>
      </c>
    </row>
    <row r="2301" spans="1:2" x14ac:dyDescent="0.25">
      <c r="A2301">
        <v>1</v>
      </c>
      <c r="B2301" s="18" t="str">
        <f>"  #if defined (MPU_S_CONFIG_REG"&amp;A2301&amp;") &amp;&amp; (MPU_S_CONFIG_REG"&amp;A2301&amp;" == 1U)"</f>
        <v xml:space="preserve">  #if defined (MPU_S_CONFIG_REG1) &amp;&amp; (MPU_S_CONFIG_REG1 == 1U)</v>
      </c>
    </row>
    <row r="2302" spans="1:2" x14ac:dyDescent="0.25">
      <c r="B2302" s="18" t="str">
        <f>"    MPU_S_CONFIG_REGION("&amp;A2301&amp;");"</f>
        <v xml:space="preserve">    MPU_S_CONFIG_REGION(1);</v>
      </c>
    </row>
    <row r="2303" spans="1:2" x14ac:dyDescent="0.25">
      <c r="B2303" s="18" t="s">
        <v>32</v>
      </c>
    </row>
    <row r="2304" spans="1:2" x14ac:dyDescent="0.25">
      <c r="A2304">
        <v>2</v>
      </c>
      <c r="B2304" s="18" t="str">
        <f>"  #if defined (MPU_S_CONFIG_REG"&amp;A2304&amp;") &amp;&amp; (MPU_S_CONFIG_REG"&amp;A2304&amp;" == 1U)"</f>
        <v xml:space="preserve">  #if defined (MPU_S_CONFIG_REG2) &amp;&amp; (MPU_S_CONFIG_REG2 == 1U)</v>
      </c>
    </row>
    <row r="2305" spans="1:2" x14ac:dyDescent="0.25">
      <c r="B2305" s="18" t="str">
        <f>"    MPU_S_CONFIG_REGION("&amp;A2304&amp;");"</f>
        <v xml:space="preserve">    MPU_S_CONFIG_REGION(2);</v>
      </c>
    </row>
    <row r="2306" spans="1:2" x14ac:dyDescent="0.25">
      <c r="B2306" s="18" t="s">
        <v>32</v>
      </c>
    </row>
    <row r="2307" spans="1:2" x14ac:dyDescent="0.25">
      <c r="A2307">
        <v>3</v>
      </c>
      <c r="B2307" s="18" t="str">
        <f>"  #if defined (MPU_S_CONFIG_REG"&amp;A2307&amp;") &amp;&amp; (MPU_S_CONFIG_REG"&amp;A2307&amp;" == 1U)"</f>
        <v xml:space="preserve">  #if defined (MPU_S_CONFIG_REG3) &amp;&amp; (MPU_S_CONFIG_REG3 == 1U)</v>
      </c>
    </row>
    <row r="2308" spans="1:2" x14ac:dyDescent="0.25">
      <c r="B2308" s="18" t="str">
        <f>"    MPU_S_CONFIG_REGION("&amp;A2307&amp;");"</f>
        <v xml:space="preserve">    MPU_S_CONFIG_REGION(3);</v>
      </c>
    </row>
    <row r="2309" spans="1:2" x14ac:dyDescent="0.25">
      <c r="B2309" s="18" t="s">
        <v>32</v>
      </c>
    </row>
    <row r="2310" spans="1:2" x14ac:dyDescent="0.25">
      <c r="A2310">
        <v>4</v>
      </c>
      <c r="B2310" s="18" t="str">
        <f>"  #if defined (MPU_S_CONFIG_REG"&amp;A2310&amp;") &amp;&amp; (MPU_S_CONFIG_REG"&amp;A2310&amp;" == 1U)"</f>
        <v xml:space="preserve">  #if defined (MPU_S_CONFIG_REG4) &amp;&amp; (MPU_S_CONFIG_REG4 == 1U)</v>
      </c>
    </row>
    <row r="2311" spans="1:2" x14ac:dyDescent="0.25">
      <c r="B2311" s="18" t="str">
        <f>"    MPU_S_CONFIG_REGION("&amp;A2310&amp;");"</f>
        <v xml:space="preserve">    MPU_S_CONFIG_REGION(4);</v>
      </c>
    </row>
    <row r="2312" spans="1:2" x14ac:dyDescent="0.25">
      <c r="B2312" s="18" t="s">
        <v>32</v>
      </c>
    </row>
    <row r="2313" spans="1:2" x14ac:dyDescent="0.25">
      <c r="A2313">
        <v>5</v>
      </c>
      <c r="B2313" s="18" t="str">
        <f>"  #if defined (MPU_S_CONFIG_REG"&amp;A2313&amp;") &amp;&amp; (MPU_S_CONFIG_REG"&amp;A2313&amp;" == 1U)"</f>
        <v xml:space="preserve">  #if defined (MPU_S_CONFIG_REG5) &amp;&amp; (MPU_S_CONFIG_REG5 == 1U)</v>
      </c>
    </row>
    <row r="2314" spans="1:2" x14ac:dyDescent="0.25">
      <c r="B2314" s="18" t="str">
        <f>"    MPU_S_CONFIG_REGION("&amp;A2313&amp;");"</f>
        <v xml:space="preserve">    MPU_S_CONFIG_REGION(5);</v>
      </c>
    </row>
    <row r="2315" spans="1:2" x14ac:dyDescent="0.25">
      <c r="B2315" s="18" t="s">
        <v>32</v>
      </c>
    </row>
    <row r="2316" spans="1:2" x14ac:dyDescent="0.25">
      <c r="A2316">
        <v>6</v>
      </c>
      <c r="B2316" s="18" t="str">
        <f>"  #if defined (MPU_S_CONFIG_REG"&amp;A2316&amp;") &amp;&amp; (MPU_S_CONFIG_REG"&amp;A2316&amp;" == 1U)"</f>
        <v xml:space="preserve">  #if defined (MPU_S_CONFIG_REG6) &amp;&amp; (MPU_S_CONFIG_REG6 == 1U)</v>
      </c>
    </row>
    <row r="2317" spans="1:2" x14ac:dyDescent="0.25">
      <c r="B2317" s="18" t="str">
        <f>"    MPU_S_CONFIG_REGION("&amp;A2316&amp;");"</f>
        <v xml:space="preserve">    MPU_S_CONFIG_REGION(6);</v>
      </c>
    </row>
    <row r="2318" spans="1:2" x14ac:dyDescent="0.25">
      <c r="B2318" s="18" t="s">
        <v>32</v>
      </c>
    </row>
    <row r="2319" spans="1:2" x14ac:dyDescent="0.25">
      <c r="A2319">
        <v>7</v>
      </c>
      <c r="B2319" s="18" t="str">
        <f>"  #if defined (MPU_S_CONFIG_REG"&amp;A2319&amp;") &amp;&amp; (MPU_S_CONFIG_REG"&amp;A2319&amp;" == 1U)"</f>
        <v xml:space="preserve">  #if defined (MPU_S_CONFIG_REG7) &amp;&amp; (MPU_S_CONFIG_REG7 == 1U)</v>
      </c>
    </row>
    <row r="2320" spans="1:2" x14ac:dyDescent="0.25">
      <c r="B2320" s="18" t="str">
        <f>"    MPU_S_CONFIG_REGION("&amp;A2319&amp;");"</f>
        <v xml:space="preserve">    MPU_S_CONFIG_REGION(7);</v>
      </c>
    </row>
    <row r="2321" spans="1:2" x14ac:dyDescent="0.25">
      <c r="B2321" s="18" t="s">
        <v>32</v>
      </c>
    </row>
    <row r="2322" spans="1:2" x14ac:dyDescent="0.25">
      <c r="A2322">
        <v>8</v>
      </c>
      <c r="B2322" s="18" t="str">
        <f>"  #if defined (MPU_S_CONFIG_REG"&amp;A2322&amp;") &amp;&amp; (MPU_S_CONFIG_REG"&amp;A2322&amp;" == 1U)"</f>
        <v xml:space="preserve">  #if defined (MPU_S_CONFIG_REG8) &amp;&amp; (MPU_S_CONFIG_REG8 == 1U)</v>
      </c>
    </row>
    <row r="2323" spans="1:2" x14ac:dyDescent="0.25">
      <c r="B2323" s="18" t="str">
        <f>"    MPU_S_CONFIG_REGION("&amp;A2322&amp;");"</f>
        <v xml:space="preserve">    MPU_S_CONFIG_REGION(8);</v>
      </c>
    </row>
    <row r="2324" spans="1:2" x14ac:dyDescent="0.25">
      <c r="B2324" s="18" t="s">
        <v>32</v>
      </c>
    </row>
    <row r="2325" spans="1:2" x14ac:dyDescent="0.25">
      <c r="A2325">
        <v>9</v>
      </c>
      <c r="B2325" s="18" t="str">
        <f>"  #if defined (MPU_S_CONFIG_REG"&amp;A2325&amp;") &amp;&amp; (MPU_S_CONFIG_REG"&amp;A2325&amp;" == 1U)"</f>
        <v xml:space="preserve">  #if defined (MPU_S_CONFIG_REG9) &amp;&amp; (MPU_S_CONFIG_REG9 == 1U)</v>
      </c>
    </row>
    <row r="2326" spans="1:2" x14ac:dyDescent="0.25">
      <c r="B2326" s="18" t="str">
        <f>"    MPU_S_CONFIG_REGION("&amp;A2325&amp;");"</f>
        <v xml:space="preserve">    MPU_S_CONFIG_REGION(9);</v>
      </c>
    </row>
    <row r="2327" spans="1:2" x14ac:dyDescent="0.25">
      <c r="B2327" s="18" t="s">
        <v>32</v>
      </c>
    </row>
    <row r="2328" spans="1:2" x14ac:dyDescent="0.25">
      <c r="A2328">
        <v>10</v>
      </c>
      <c r="B2328" s="18" t="str">
        <f>"  #if defined (MPU_S_CONFIG_REG"&amp;A2328&amp;") &amp;&amp; (MPU_S_CONFIG_REG"&amp;A2328&amp;" == 1U)"</f>
        <v xml:space="preserve">  #if defined (MPU_S_CONFIG_REG10) &amp;&amp; (MPU_S_CONFIG_REG10 == 1U)</v>
      </c>
    </row>
    <row r="2329" spans="1:2" x14ac:dyDescent="0.25">
      <c r="B2329" s="18" t="str">
        <f>"    MPU_S_CONFIG_REGION("&amp;A2328&amp;");"</f>
        <v xml:space="preserve">    MPU_S_CONFIG_REGION(10);</v>
      </c>
    </row>
    <row r="2330" spans="1:2" x14ac:dyDescent="0.25">
      <c r="B2330" s="18" t="s">
        <v>32</v>
      </c>
    </row>
    <row r="2331" spans="1:2" x14ac:dyDescent="0.25">
      <c r="A2331">
        <v>11</v>
      </c>
      <c r="B2331" s="18" t="str">
        <f>"  #if defined (MPU_S_CONFIG_REG"&amp;A2331&amp;") &amp;&amp; (MPU_S_CONFIG_REG"&amp;A2331&amp;" == 1U)"</f>
        <v xml:space="preserve">  #if defined (MPU_S_CONFIG_REG11) &amp;&amp; (MPU_S_CONFIG_REG11 == 1U)</v>
      </c>
    </row>
    <row r="2332" spans="1:2" x14ac:dyDescent="0.25">
      <c r="B2332" s="18" t="str">
        <f>"    MPU_S_CONFIG_REGION("&amp;A2331&amp;");"</f>
        <v xml:space="preserve">    MPU_S_CONFIG_REGION(11);</v>
      </c>
    </row>
    <row r="2333" spans="1:2" x14ac:dyDescent="0.25">
      <c r="B2333" s="18" t="s">
        <v>32</v>
      </c>
    </row>
    <row r="2334" spans="1:2" x14ac:dyDescent="0.25">
      <c r="A2334">
        <v>12</v>
      </c>
      <c r="B2334" s="18" t="str">
        <f>"  #if defined (MPU_S_CONFIG_REG"&amp;A2334&amp;") &amp;&amp; (MPU_S_CONFIG_REG"&amp;A2334&amp;" == 1U)"</f>
        <v xml:space="preserve">  #if defined (MPU_S_CONFIG_REG12) &amp;&amp; (MPU_S_CONFIG_REG12 == 1U)</v>
      </c>
    </row>
    <row r="2335" spans="1:2" x14ac:dyDescent="0.25">
      <c r="B2335" s="18" t="str">
        <f>"    MPU_S_CONFIG_REGION("&amp;A2334&amp;");"</f>
        <v xml:space="preserve">    MPU_S_CONFIG_REGION(12);</v>
      </c>
    </row>
    <row r="2336" spans="1:2" x14ac:dyDescent="0.25">
      <c r="B2336" s="18" t="s">
        <v>32</v>
      </c>
    </row>
    <row r="2337" spans="1:2" x14ac:dyDescent="0.25">
      <c r="A2337">
        <v>13</v>
      </c>
      <c r="B2337" s="18" t="str">
        <f>"  #if defined (MPU_S_CONFIG_REG"&amp;A2337&amp;") &amp;&amp; (MPU_S_CONFIG_REG"&amp;A2337&amp;" == 1U)"</f>
        <v xml:space="preserve">  #if defined (MPU_S_CONFIG_REG13) &amp;&amp; (MPU_S_CONFIG_REG13 == 1U)</v>
      </c>
    </row>
    <row r="2338" spans="1:2" x14ac:dyDescent="0.25">
      <c r="B2338" s="18" t="str">
        <f>"    MPU_S_CONFIG_REGION("&amp;A2337&amp;");"</f>
        <v xml:space="preserve">    MPU_S_CONFIG_REGION(13);</v>
      </c>
    </row>
    <row r="2339" spans="1:2" x14ac:dyDescent="0.25">
      <c r="B2339" s="18" t="s">
        <v>32</v>
      </c>
    </row>
    <row r="2340" spans="1:2" x14ac:dyDescent="0.25">
      <c r="A2340">
        <v>14</v>
      </c>
      <c r="B2340" s="18" t="str">
        <f>"  #if defined (MPU_S_CONFIG_REG"&amp;A2340&amp;") &amp;&amp; (MPU_S_CONFIG_REG"&amp;A2340&amp;" == 1U)"</f>
        <v xml:space="preserve">  #if defined (MPU_S_CONFIG_REG14) &amp;&amp; (MPU_S_CONFIG_REG14 == 1U)</v>
      </c>
    </row>
    <row r="2341" spans="1:2" x14ac:dyDescent="0.25">
      <c r="B2341" s="18" t="str">
        <f>"    MPU_S_CONFIG_REGION("&amp;A2340&amp;");"</f>
        <v xml:space="preserve">    MPU_S_CONFIG_REGION(14);</v>
      </c>
    </row>
    <row r="2342" spans="1:2" x14ac:dyDescent="0.25">
      <c r="B2342" s="18" t="s">
        <v>32</v>
      </c>
    </row>
    <row r="2343" spans="1:2" x14ac:dyDescent="0.25">
      <c r="A2343">
        <v>15</v>
      </c>
      <c r="B2343" s="18" t="str">
        <f>"  #if defined (MPU_S_CONFIG_REG"&amp;A2343&amp;") &amp;&amp; (MPU_S_CONFIG_REG"&amp;A2343&amp;" == 1U)"</f>
        <v xml:space="preserve">  #if defined (MPU_S_CONFIG_REG15) &amp;&amp; (MPU_S_CONFIG_REG15 == 1U)</v>
      </c>
    </row>
    <row r="2344" spans="1:2" x14ac:dyDescent="0.25">
      <c r="B2344" s="18" t="str">
        <f>"    MPU_S_CONFIG_REGION("&amp;A2343&amp;");"</f>
        <v xml:space="preserve">    MPU_S_CONFIG_REGION(15);</v>
      </c>
    </row>
    <row r="2345" spans="1:2" x14ac:dyDescent="0.25">
      <c r="B2345" s="18" t="s">
        <v>32</v>
      </c>
    </row>
    <row r="2346" spans="1:2" x14ac:dyDescent="0.25">
      <c r="B2346" s="18" t="s">
        <v>201</v>
      </c>
    </row>
    <row r="2347" spans="1:2" x14ac:dyDescent="0.25">
      <c r="B2347" s="18" t="s">
        <v>202</v>
      </c>
    </row>
    <row r="2348" spans="1:2" x14ac:dyDescent="0.25">
      <c r="B2348" s="18" t="s">
        <v>33</v>
      </c>
    </row>
    <row r="2349" spans="1:2" x14ac:dyDescent="0.25">
      <c r="B2349" s="18" t="s">
        <v>196</v>
      </c>
    </row>
    <row r="2350" spans="1:2" x14ac:dyDescent="0.25">
      <c r="B2350" s="18" t="s">
        <v>138</v>
      </c>
    </row>
    <row r="2351" spans="1:2" x14ac:dyDescent="0.25">
      <c r="B2351" s="18" t="s">
        <v>257</v>
      </c>
    </row>
    <row r="2352" spans="1:2" x14ac:dyDescent="0.25">
      <c r="B2352" s="18" t="s">
        <v>184</v>
      </c>
    </row>
    <row r="2353" spans="1:2" x14ac:dyDescent="0.25">
      <c r="B2353" s="18" t="s">
        <v>175</v>
      </c>
    </row>
    <row r="2354" spans="1:2" x14ac:dyDescent="0.25">
      <c r="B2354" s="18" t="s">
        <v>176</v>
      </c>
    </row>
    <row r="2355" spans="1:2" x14ac:dyDescent="0.25">
      <c r="B2355" s="18" t="s">
        <v>220</v>
      </c>
    </row>
    <row r="2356" spans="1:2" x14ac:dyDescent="0.25">
      <c r="B2356" s="18" t="s">
        <v>185</v>
      </c>
    </row>
    <row r="2357" spans="1:2" x14ac:dyDescent="0.25">
      <c r="B2357" s="18" t="s">
        <v>30</v>
      </c>
    </row>
    <row r="2358" spans="1:2" x14ac:dyDescent="0.25">
      <c r="B2358" s="18" t="s">
        <v>208</v>
      </c>
    </row>
    <row r="2359" spans="1:2" x14ac:dyDescent="0.25">
      <c r="A2359">
        <v>0</v>
      </c>
      <c r="B2359" s="18" t="str">
        <f>"  #if defined (MPU_NS_INIT_IDX"&amp;A2359&amp;") &amp;&amp; (MPU_NS_INIT_IDX"&amp;A2359&amp;" == 1U)"</f>
        <v xml:space="preserve">  #if defined (MPU_NS_INIT_IDX0) &amp;&amp; (MPU_NS_INIT_IDX0 == 1U)</v>
      </c>
    </row>
    <row r="2360" spans="1:2" x14ac:dyDescent="0.25">
      <c r="B2360" s="18" t="str">
        <f>"    ARM_MPU_SetMemAttr_NS("&amp;A2359&amp;",MPU_NS_VAL_IDX"&amp;A2359&amp;");"</f>
        <v xml:space="preserve">    ARM_MPU_SetMemAttr_NS(0,MPU_NS_VAL_IDX0);</v>
      </c>
    </row>
    <row r="2361" spans="1:2" x14ac:dyDescent="0.25">
      <c r="B2361" s="18" t="s">
        <v>32</v>
      </c>
    </row>
    <row r="2362" spans="1:2" x14ac:dyDescent="0.25">
      <c r="A2362">
        <f>A2359+1</f>
        <v>1</v>
      </c>
      <c r="B2362" s="18" t="str">
        <f>"  #if defined (MPU_NS_INIT_IDX"&amp;A2362&amp;") &amp;&amp; (MPU_NS_INIT_IDX"&amp;A2362&amp;" == 1U)"</f>
        <v xml:space="preserve">  #if defined (MPU_NS_INIT_IDX1) &amp;&amp; (MPU_NS_INIT_IDX1 == 1U)</v>
      </c>
    </row>
    <row r="2363" spans="1:2" x14ac:dyDescent="0.25">
      <c r="B2363" s="18" t="str">
        <f>"    ARM_MPU_SetMemAttr_NS("&amp;A2362&amp;",MPU_NS_VAL_IDX"&amp;A2362&amp;");"</f>
        <v xml:space="preserve">    ARM_MPU_SetMemAttr_NS(1,MPU_NS_VAL_IDX1);</v>
      </c>
    </row>
    <row r="2364" spans="1:2" x14ac:dyDescent="0.25">
      <c r="B2364" s="18" t="s">
        <v>32</v>
      </c>
    </row>
    <row r="2365" spans="1:2" x14ac:dyDescent="0.25">
      <c r="A2365">
        <f>A2362+1</f>
        <v>2</v>
      </c>
      <c r="B2365" s="18" t="str">
        <f>"  #if defined (MPU_NS_INIT_IDX"&amp;A2365&amp;") &amp;&amp; (MPU_NS_INIT_IDX"&amp;A2365&amp;" == 1U)"</f>
        <v xml:space="preserve">  #if defined (MPU_NS_INIT_IDX2) &amp;&amp; (MPU_NS_INIT_IDX2 == 1U)</v>
      </c>
    </row>
    <row r="2366" spans="1:2" x14ac:dyDescent="0.25">
      <c r="B2366" s="18" t="str">
        <f>"    ARM_MPU_SetMemAttr_NS("&amp;A2365&amp;",MPU_NS_VAL_IDX"&amp;A2365&amp;");"</f>
        <v xml:space="preserve">    ARM_MPU_SetMemAttr_NS(2,MPU_NS_VAL_IDX2);</v>
      </c>
    </row>
    <row r="2367" spans="1:2" x14ac:dyDescent="0.25">
      <c r="B2367" s="18" t="s">
        <v>32</v>
      </c>
    </row>
    <row r="2368" spans="1:2" x14ac:dyDescent="0.25">
      <c r="A2368">
        <f>A2365+1</f>
        <v>3</v>
      </c>
      <c r="B2368" s="18" t="str">
        <f>"  #if defined (MPU_NS_INIT_IDX"&amp;A2368&amp;") &amp;&amp; (MPU_NS_INIT_IDX"&amp;A2368&amp;" == 1U)"</f>
        <v xml:space="preserve">  #if defined (MPU_NS_INIT_IDX3) &amp;&amp; (MPU_NS_INIT_IDX3 == 1U)</v>
      </c>
    </row>
    <row r="2369" spans="1:2" x14ac:dyDescent="0.25">
      <c r="B2369" s="18" t="str">
        <f>"    ARM_MPU_SetMemAttr_NS("&amp;A2368&amp;",MPU_NS_VAL_IDX"&amp;A2368&amp;");"</f>
        <v xml:space="preserve">    ARM_MPU_SetMemAttr_NS(3,MPU_NS_VAL_IDX3);</v>
      </c>
    </row>
    <row r="2370" spans="1:2" x14ac:dyDescent="0.25">
      <c r="B2370" s="18" t="s">
        <v>32</v>
      </c>
    </row>
    <row r="2371" spans="1:2" x14ac:dyDescent="0.25">
      <c r="A2371">
        <f>A2368+1</f>
        <v>4</v>
      </c>
      <c r="B2371" s="18" t="str">
        <f>"  #if defined (MPU_NS_INIT_IDX"&amp;A2371&amp;") &amp;&amp; (MPU_NS_INIT_IDX"&amp;A2371&amp;" == 1U)"</f>
        <v xml:space="preserve">  #if defined (MPU_NS_INIT_IDX4) &amp;&amp; (MPU_NS_INIT_IDX4 == 1U)</v>
      </c>
    </row>
    <row r="2372" spans="1:2" x14ac:dyDescent="0.25">
      <c r="B2372" s="18" t="str">
        <f>"    ARM_MPU_SetMemAttr_NS("&amp;A2371&amp;",MPU_NS_VAL_IDX"&amp;A2371&amp;");"</f>
        <v xml:space="preserve">    ARM_MPU_SetMemAttr_NS(4,MPU_NS_VAL_IDX4);</v>
      </c>
    </row>
    <row r="2373" spans="1:2" x14ac:dyDescent="0.25">
      <c r="B2373" s="18" t="s">
        <v>32</v>
      </c>
    </row>
    <row r="2374" spans="1:2" x14ac:dyDescent="0.25">
      <c r="A2374">
        <f>A2371+1</f>
        <v>5</v>
      </c>
      <c r="B2374" s="18" t="str">
        <f>"  #if defined (MPU_NS_INIT_IDX"&amp;A2374&amp;") &amp;&amp; (MPU_NS_INIT_IDX"&amp;A2374&amp;" == 1U)"</f>
        <v xml:space="preserve">  #if defined (MPU_NS_INIT_IDX5) &amp;&amp; (MPU_NS_INIT_IDX5 == 1U)</v>
      </c>
    </row>
    <row r="2375" spans="1:2" x14ac:dyDescent="0.25">
      <c r="B2375" s="18" t="str">
        <f>"    ARM_MPU_SetMemAttr_NS("&amp;A2374&amp;",MPU_NS_VAL_IDX"&amp;A2374&amp;");"</f>
        <v xml:space="preserve">    ARM_MPU_SetMemAttr_NS(5,MPU_NS_VAL_IDX5);</v>
      </c>
    </row>
    <row r="2376" spans="1:2" x14ac:dyDescent="0.25">
      <c r="B2376" s="18" t="s">
        <v>32</v>
      </c>
    </row>
    <row r="2377" spans="1:2" x14ac:dyDescent="0.25">
      <c r="A2377">
        <f>A2374+1</f>
        <v>6</v>
      </c>
      <c r="B2377" s="18" t="str">
        <f>"  #if defined (MPU_NS_INIT_IDX"&amp;A2377&amp;") &amp;&amp; (MPU_NS_INIT_IDX"&amp;A2377&amp;" == 1U)"</f>
        <v xml:space="preserve">  #if defined (MPU_NS_INIT_IDX6) &amp;&amp; (MPU_NS_INIT_IDX6 == 1U)</v>
      </c>
    </row>
    <row r="2378" spans="1:2" x14ac:dyDescent="0.25">
      <c r="B2378" s="18" t="str">
        <f>"    ARM_MPU_SetMemAttr_NS("&amp;A2377&amp;",MPU_NS_VAL_IDX"&amp;A2377&amp;");"</f>
        <v xml:space="preserve">    ARM_MPU_SetMemAttr_NS(6,MPU_NS_VAL_IDX6);</v>
      </c>
    </row>
    <row r="2379" spans="1:2" x14ac:dyDescent="0.25">
      <c r="B2379" s="18" t="s">
        <v>32</v>
      </c>
    </row>
    <row r="2380" spans="1:2" x14ac:dyDescent="0.25">
      <c r="A2380">
        <f>A2377+1</f>
        <v>7</v>
      </c>
      <c r="B2380" s="18" t="str">
        <f>"  #if defined (MPU_NS_INIT_IDX"&amp;A2380&amp;") &amp;&amp; (MPU_NS_INIT_IDX"&amp;A2380&amp;" == 1U)"</f>
        <v xml:space="preserve">  #if defined (MPU_NS_INIT_IDX7) &amp;&amp; (MPU_NS_INIT_IDX7 == 1U)</v>
      </c>
    </row>
    <row r="2381" spans="1:2" x14ac:dyDescent="0.25">
      <c r="B2381" s="18" t="str">
        <f>"    ARM_MPU_SetMemAttr_NS("&amp;A2380&amp;",MPU_NS_VAL_IDX"&amp;A2380&amp;");"</f>
        <v xml:space="preserve">    ARM_MPU_SetMemAttr_NS(7,MPU_NS_VAL_IDX7);</v>
      </c>
    </row>
    <row r="2382" spans="1:2" x14ac:dyDescent="0.25">
      <c r="B2382" s="18" t="s">
        <v>32</v>
      </c>
    </row>
    <row r="2383" spans="1:2" x14ac:dyDescent="0.25">
      <c r="B2383" s="18" t="s">
        <v>179</v>
      </c>
    </row>
    <row r="2384" spans="1:2" x14ac:dyDescent="0.25">
      <c r="A2384">
        <v>0</v>
      </c>
      <c r="B2384" s="18" t="str">
        <f>"  #if defined (MPU_NS_CONFIG_REG"&amp;A2384&amp;") &amp;&amp; (MPU_NS_CONFIG_REG"&amp;A2384&amp;" == 1U)"</f>
        <v xml:space="preserve">  #if defined (MPU_NS_CONFIG_REG0) &amp;&amp; (MPU_NS_CONFIG_REG0 == 1U)</v>
      </c>
    </row>
    <row r="2385" spans="1:2" x14ac:dyDescent="0.25">
      <c r="B2385" s="18" t="str">
        <f>"    MPU_NS_CONFIG_REGION("&amp;A2384&amp;");"</f>
        <v xml:space="preserve">    MPU_NS_CONFIG_REGION(0);</v>
      </c>
    </row>
    <row r="2386" spans="1:2" x14ac:dyDescent="0.25">
      <c r="B2386" s="18" t="s">
        <v>32</v>
      </c>
    </row>
    <row r="2387" spans="1:2" x14ac:dyDescent="0.25">
      <c r="A2387">
        <v>1</v>
      </c>
      <c r="B2387" s="18" t="str">
        <f>"  #if defined (MPU_NS_CONFIG_REG"&amp;A2387&amp;") &amp;&amp; (MPU_NS_CONFIG_REG"&amp;A2387&amp;" == 1U)"</f>
        <v xml:space="preserve">  #if defined (MPU_NS_CONFIG_REG1) &amp;&amp; (MPU_NS_CONFIG_REG1 == 1U)</v>
      </c>
    </row>
    <row r="2388" spans="1:2" x14ac:dyDescent="0.25">
      <c r="B2388" s="18" t="str">
        <f>"    MPU_NS_CONFIG_REGION("&amp;A2387&amp;");"</f>
        <v xml:space="preserve">    MPU_NS_CONFIG_REGION(1);</v>
      </c>
    </row>
    <row r="2389" spans="1:2" x14ac:dyDescent="0.25">
      <c r="B2389" s="18" t="s">
        <v>32</v>
      </c>
    </row>
    <row r="2390" spans="1:2" x14ac:dyDescent="0.25">
      <c r="A2390">
        <v>2</v>
      </c>
      <c r="B2390" s="18" t="str">
        <f>"  #if defined (MPU_NS_CONFIG_REG"&amp;A2390&amp;") &amp;&amp; (MPU_NS_CONFIG_REG"&amp;A2390&amp;" == 1U)"</f>
        <v xml:space="preserve">  #if defined (MPU_NS_CONFIG_REG2) &amp;&amp; (MPU_NS_CONFIG_REG2 == 1U)</v>
      </c>
    </row>
    <row r="2391" spans="1:2" x14ac:dyDescent="0.25">
      <c r="B2391" s="18" t="str">
        <f>"    MPU_NS_CONFIG_REGION("&amp;A2390&amp;");"</f>
        <v xml:space="preserve">    MPU_NS_CONFIG_REGION(2);</v>
      </c>
    </row>
    <row r="2392" spans="1:2" x14ac:dyDescent="0.25">
      <c r="B2392" s="18" t="s">
        <v>32</v>
      </c>
    </row>
    <row r="2393" spans="1:2" x14ac:dyDescent="0.25">
      <c r="A2393">
        <v>3</v>
      </c>
      <c r="B2393" s="18" t="str">
        <f>"  #if defined (MPU_NS_CONFIG_REG"&amp;A2393&amp;") &amp;&amp; (MPU_NS_CONFIG_REG"&amp;A2393&amp;" == 1U)"</f>
        <v xml:space="preserve">  #if defined (MPU_NS_CONFIG_REG3) &amp;&amp; (MPU_NS_CONFIG_REG3 == 1U)</v>
      </c>
    </row>
    <row r="2394" spans="1:2" x14ac:dyDescent="0.25">
      <c r="B2394" s="18" t="str">
        <f>"    MPU_NS_CONFIG_REGION("&amp;A2393&amp;");"</f>
        <v xml:space="preserve">    MPU_NS_CONFIG_REGION(3);</v>
      </c>
    </row>
    <row r="2395" spans="1:2" x14ac:dyDescent="0.25">
      <c r="B2395" s="18" t="s">
        <v>32</v>
      </c>
    </row>
    <row r="2396" spans="1:2" x14ac:dyDescent="0.25">
      <c r="A2396">
        <v>4</v>
      </c>
      <c r="B2396" s="18" t="str">
        <f>"  #if defined (MPU_NS_CONFIG_REG"&amp;A2396&amp;") &amp;&amp; (MPU_NS_CONFIG_REG"&amp;A2396&amp;" == 1U)"</f>
        <v xml:space="preserve">  #if defined (MPU_NS_CONFIG_REG4) &amp;&amp; (MPU_NS_CONFIG_REG4 == 1U)</v>
      </c>
    </row>
    <row r="2397" spans="1:2" x14ac:dyDescent="0.25">
      <c r="B2397" s="18" t="str">
        <f>"    MPU_NS_CONFIG_REGION("&amp;A2396&amp;");"</f>
        <v xml:space="preserve">    MPU_NS_CONFIG_REGION(4);</v>
      </c>
    </row>
    <row r="2398" spans="1:2" x14ac:dyDescent="0.25">
      <c r="B2398" s="18" t="s">
        <v>32</v>
      </c>
    </row>
    <row r="2399" spans="1:2" x14ac:dyDescent="0.25">
      <c r="A2399">
        <v>5</v>
      </c>
      <c r="B2399" s="18" t="str">
        <f>"  #if defined (MPU_NS_CONFIG_REG"&amp;A2399&amp;") &amp;&amp; (MPU_NS_CONFIG_REG"&amp;A2399&amp;" == 1U)"</f>
        <v xml:space="preserve">  #if defined (MPU_NS_CONFIG_REG5) &amp;&amp; (MPU_NS_CONFIG_REG5 == 1U)</v>
      </c>
    </row>
    <row r="2400" spans="1:2" x14ac:dyDescent="0.25">
      <c r="B2400" s="18" t="str">
        <f>"    MPU_NS_CONFIG_REGION("&amp;A2399&amp;");"</f>
        <v xml:space="preserve">    MPU_NS_CONFIG_REGION(5);</v>
      </c>
    </row>
    <row r="2401" spans="1:2" x14ac:dyDescent="0.25">
      <c r="B2401" s="18" t="s">
        <v>32</v>
      </c>
    </row>
    <row r="2402" spans="1:2" x14ac:dyDescent="0.25">
      <c r="A2402">
        <v>6</v>
      </c>
      <c r="B2402" s="18" t="str">
        <f>"  #if defined (MPU_NS_CONFIG_REG"&amp;A2402&amp;") &amp;&amp; (MPU_NS_CONFIG_REG"&amp;A2402&amp;" == 1U)"</f>
        <v xml:space="preserve">  #if defined (MPU_NS_CONFIG_REG6) &amp;&amp; (MPU_NS_CONFIG_REG6 == 1U)</v>
      </c>
    </row>
    <row r="2403" spans="1:2" x14ac:dyDescent="0.25">
      <c r="B2403" s="18" t="str">
        <f>"    MPU_NS_CONFIG_REGION("&amp;A2402&amp;");"</f>
        <v xml:space="preserve">    MPU_NS_CONFIG_REGION(6);</v>
      </c>
    </row>
    <row r="2404" spans="1:2" x14ac:dyDescent="0.25">
      <c r="B2404" s="18" t="s">
        <v>32</v>
      </c>
    </row>
    <row r="2405" spans="1:2" x14ac:dyDescent="0.25">
      <c r="A2405">
        <v>7</v>
      </c>
      <c r="B2405" s="18" t="str">
        <f>"  #if defined (MPU_NS_CONFIG_REG"&amp;A2405&amp;") &amp;&amp; (MPU_NS_CONFIG_REG"&amp;A2405&amp;" == 1U)"</f>
        <v xml:space="preserve">  #if defined (MPU_NS_CONFIG_REG7) &amp;&amp; (MPU_NS_CONFIG_REG7 == 1U)</v>
      </c>
    </row>
    <row r="2406" spans="1:2" x14ac:dyDescent="0.25">
      <c r="B2406" s="18" t="str">
        <f>"    MPU_NS_CONFIG_REGION("&amp;A2405&amp;");"</f>
        <v xml:space="preserve">    MPU_NS_CONFIG_REGION(7);</v>
      </c>
    </row>
    <row r="2407" spans="1:2" x14ac:dyDescent="0.25">
      <c r="B2407" s="18" t="s">
        <v>32</v>
      </c>
    </row>
    <row r="2408" spans="1:2" x14ac:dyDescent="0.25">
      <c r="A2408">
        <v>8</v>
      </c>
      <c r="B2408" s="18" t="str">
        <f>"  #if defined (MPU_NS_CONFIG_REG"&amp;A2408&amp;") &amp;&amp; (MPU_NS_CONFIG_REG"&amp;A2408&amp;" == 1U)"</f>
        <v xml:space="preserve">  #if defined (MPU_NS_CONFIG_REG8) &amp;&amp; (MPU_NS_CONFIG_REG8 == 1U)</v>
      </c>
    </row>
    <row r="2409" spans="1:2" x14ac:dyDescent="0.25">
      <c r="B2409" s="18" t="str">
        <f>"    MPU_NS_CONFIG_REGION("&amp;A2408&amp;");"</f>
        <v xml:space="preserve">    MPU_NS_CONFIG_REGION(8);</v>
      </c>
    </row>
    <row r="2410" spans="1:2" x14ac:dyDescent="0.25">
      <c r="B2410" s="18" t="s">
        <v>32</v>
      </c>
    </row>
    <row r="2411" spans="1:2" x14ac:dyDescent="0.25">
      <c r="A2411">
        <v>9</v>
      </c>
      <c r="B2411" s="18" t="str">
        <f>"  #if defined (MPU_NS_CONFIG_REG"&amp;A2411&amp;") &amp;&amp; (MPU_NS_CONFIG_REG"&amp;A2411&amp;" == 1U)"</f>
        <v xml:space="preserve">  #if defined (MPU_NS_CONFIG_REG9) &amp;&amp; (MPU_NS_CONFIG_REG9 == 1U)</v>
      </c>
    </row>
    <row r="2412" spans="1:2" x14ac:dyDescent="0.25">
      <c r="B2412" s="18" t="str">
        <f>"    MPU_NS_CONFIG_REGION("&amp;A2411&amp;");"</f>
        <v xml:space="preserve">    MPU_NS_CONFIG_REGION(9);</v>
      </c>
    </row>
    <row r="2413" spans="1:2" x14ac:dyDescent="0.25">
      <c r="B2413" s="18" t="s">
        <v>32</v>
      </c>
    </row>
    <row r="2414" spans="1:2" x14ac:dyDescent="0.25">
      <c r="A2414">
        <v>10</v>
      </c>
      <c r="B2414" s="18" t="str">
        <f>"  #if defined (MPU_NS_CONFIG_REG"&amp;A2414&amp;") &amp;&amp; (MPU_NS_CONFIG_REG"&amp;A2414&amp;" == 1U)"</f>
        <v xml:space="preserve">  #if defined (MPU_NS_CONFIG_REG10) &amp;&amp; (MPU_NS_CONFIG_REG10 == 1U)</v>
      </c>
    </row>
    <row r="2415" spans="1:2" x14ac:dyDescent="0.25">
      <c r="B2415" s="18" t="str">
        <f>"    MPU_NS_CONFIG_REGION("&amp;A2414&amp;");"</f>
        <v xml:space="preserve">    MPU_NS_CONFIG_REGION(10);</v>
      </c>
    </row>
    <row r="2416" spans="1:2" x14ac:dyDescent="0.25">
      <c r="B2416" s="18" t="s">
        <v>32</v>
      </c>
    </row>
    <row r="2417" spans="1:2" x14ac:dyDescent="0.25">
      <c r="A2417">
        <v>11</v>
      </c>
      <c r="B2417" s="18" t="str">
        <f>"  #if defined (MPU_NS_CONFIG_REG"&amp;A2417&amp;") &amp;&amp; (MPU_NS_CONFIG_REG"&amp;A2417&amp;" == 1U)"</f>
        <v xml:space="preserve">  #if defined (MPU_NS_CONFIG_REG11) &amp;&amp; (MPU_NS_CONFIG_REG11 == 1U)</v>
      </c>
    </row>
    <row r="2418" spans="1:2" x14ac:dyDescent="0.25">
      <c r="B2418" s="18" t="str">
        <f>"    MPU_NS_CONFIG_REGION("&amp;A2417&amp;");"</f>
        <v xml:space="preserve">    MPU_NS_CONFIG_REGION(11);</v>
      </c>
    </row>
    <row r="2419" spans="1:2" x14ac:dyDescent="0.25">
      <c r="B2419" s="18" t="s">
        <v>32</v>
      </c>
    </row>
    <row r="2420" spans="1:2" x14ac:dyDescent="0.25">
      <c r="A2420">
        <v>12</v>
      </c>
      <c r="B2420" s="18" t="str">
        <f>"  #if defined (MPU_NS_CONFIG_REG"&amp;A2420&amp;") &amp;&amp; (MPU_NS_CONFIG_REG"&amp;A2420&amp;" == 1U)"</f>
        <v xml:space="preserve">  #if defined (MPU_NS_CONFIG_REG12) &amp;&amp; (MPU_NS_CONFIG_REG12 == 1U)</v>
      </c>
    </row>
    <row r="2421" spans="1:2" x14ac:dyDescent="0.25">
      <c r="B2421" s="18" t="str">
        <f>"    MPU_NS_CONFIG_REGION("&amp;A2420&amp;");"</f>
        <v xml:space="preserve">    MPU_NS_CONFIG_REGION(12);</v>
      </c>
    </row>
    <row r="2422" spans="1:2" x14ac:dyDescent="0.25">
      <c r="B2422" s="18" t="s">
        <v>32</v>
      </c>
    </row>
    <row r="2423" spans="1:2" x14ac:dyDescent="0.25">
      <c r="A2423">
        <v>13</v>
      </c>
      <c r="B2423" s="18" t="str">
        <f>"  #if defined (MPU_NS_CONFIG_REG"&amp;A2423&amp;") &amp;&amp; (MPU_NS_CONFIG_REG"&amp;A2423&amp;" == 1U)"</f>
        <v xml:space="preserve">  #if defined (MPU_NS_CONFIG_REG13) &amp;&amp; (MPU_NS_CONFIG_REG13 == 1U)</v>
      </c>
    </row>
    <row r="2424" spans="1:2" x14ac:dyDescent="0.25">
      <c r="B2424" s="18" t="str">
        <f>"    MPU_NS_CONFIG_REGION("&amp;A2423&amp;");"</f>
        <v xml:space="preserve">    MPU_NS_CONFIG_REGION(13);</v>
      </c>
    </row>
    <row r="2425" spans="1:2" x14ac:dyDescent="0.25">
      <c r="B2425" s="18" t="s">
        <v>32</v>
      </c>
    </row>
    <row r="2426" spans="1:2" x14ac:dyDescent="0.25">
      <c r="A2426">
        <v>14</v>
      </c>
      <c r="B2426" s="18" t="str">
        <f>"  #if defined (MPU_NS_CONFIG_REG"&amp;A2426&amp;") &amp;&amp; (MPU_NS_CONFIG_REG"&amp;A2426&amp;" == 1U)"</f>
        <v xml:space="preserve">  #if defined (MPU_NS_CONFIG_REG14) &amp;&amp; (MPU_NS_CONFIG_REG14 == 1U)</v>
      </c>
    </row>
    <row r="2427" spans="1:2" x14ac:dyDescent="0.25">
      <c r="B2427" s="18" t="str">
        <f>"    MPU_NS_CONFIG_REGION("&amp;A2426&amp;");"</f>
        <v xml:space="preserve">    MPU_NS_CONFIG_REGION(14);</v>
      </c>
    </row>
    <row r="2428" spans="1:2" x14ac:dyDescent="0.25">
      <c r="B2428" s="18" t="s">
        <v>32</v>
      </c>
    </row>
    <row r="2429" spans="1:2" x14ac:dyDescent="0.25">
      <c r="A2429">
        <v>15</v>
      </c>
      <c r="B2429" s="18" t="str">
        <f>"  #if defined (MPU_NS_CONFIG_REG"&amp;A2429&amp;") &amp;&amp; (MPU_NS_CONFIG_REG"&amp;A2429&amp;" == 1U)"</f>
        <v xml:space="preserve">  #if defined (MPU_NS_CONFIG_REG15) &amp;&amp; (MPU_NS_CONFIG_REG15 == 1U)</v>
      </c>
    </row>
    <row r="2430" spans="1:2" x14ac:dyDescent="0.25">
      <c r="B2430" s="18" t="str">
        <f>"    MPU_NS_CONFIG_REGION("&amp;A2429&amp;");"</f>
        <v xml:space="preserve">    MPU_NS_CONFIG_REGION(15);</v>
      </c>
    </row>
    <row r="2431" spans="1:2" x14ac:dyDescent="0.25">
      <c r="B2431" s="18" t="s">
        <v>32</v>
      </c>
    </row>
    <row r="2432" spans="1:2" x14ac:dyDescent="0.25">
      <c r="B2432" s="18" t="s">
        <v>180</v>
      </c>
    </row>
    <row r="2433" spans="2:2" x14ac:dyDescent="0.25">
      <c r="B2433" s="18" t="s">
        <v>181</v>
      </c>
    </row>
    <row r="2434" spans="2:2" x14ac:dyDescent="0.25">
      <c r="B2434" s="18" t="s">
        <v>33</v>
      </c>
    </row>
    <row r="2435" spans="2:2" x14ac:dyDescent="0.25">
      <c r="B2435" s="18" t="s">
        <v>183</v>
      </c>
    </row>
    <row r="2436" spans="2:2" x14ac:dyDescent="0.25">
      <c r="B2436" s="18" t="s">
        <v>209</v>
      </c>
    </row>
    <row r="2437" spans="2:2" x14ac:dyDescent="0.25">
      <c r="B2437" s="18" t="s">
        <v>34</v>
      </c>
    </row>
    <row r="2439" spans="2:2" x14ac:dyDescent="0.25">
      <c r="B2439" s="18" t="s">
        <v>182</v>
      </c>
    </row>
    <row r="2440" spans="2:2" x14ac:dyDescent="0.25">
      <c r="B2440" s="18" t="s">
        <v>174</v>
      </c>
    </row>
    <row r="2441" spans="2:2" x14ac:dyDescent="0.25">
      <c r="B2441" s="18" t="s">
        <v>222</v>
      </c>
    </row>
    <row r="2442" spans="2:2" x14ac:dyDescent="0.25">
      <c r="B2442" s="18" t="s">
        <v>221</v>
      </c>
    </row>
    <row r="2443" spans="2:2" x14ac:dyDescent="0.25">
      <c r="B2443" s="18" t="s">
        <v>36</v>
      </c>
    </row>
    <row r="2444" spans="2:2" x14ac:dyDescent="0.25">
      <c r="B2444" s="18" t="s">
        <v>30</v>
      </c>
    </row>
    <row r="2445" spans="2:2" x14ac:dyDescent="0.25">
      <c r="B2445" s="18" t="s">
        <v>31</v>
      </c>
    </row>
    <row r="2446" spans="2:2" x14ac:dyDescent="0.25">
      <c r="B2446" s="18" t="s">
        <v>198</v>
      </c>
    </row>
    <row r="2447" spans="2:2" x14ac:dyDescent="0.25">
      <c r="B2447" s="18" t="s">
        <v>257</v>
      </c>
    </row>
    <row r="2448" spans="2:2" x14ac:dyDescent="0.25">
      <c r="B2448" s="18" t="s">
        <v>197</v>
      </c>
    </row>
    <row r="2449" spans="2:2" x14ac:dyDescent="0.25">
      <c r="B2449" s="18" t="s">
        <v>206</v>
      </c>
    </row>
    <row r="2450" spans="2:2" x14ac:dyDescent="0.25">
      <c r="B2450" s="18" t="s">
        <v>34</v>
      </c>
    </row>
    <row r="2451" spans="2:2" x14ac:dyDescent="0.25">
      <c r="B2451" s="18" t="s">
        <v>172</v>
      </c>
    </row>
    <row r="2452" spans="2:2" x14ac:dyDescent="0.25">
      <c r="B2452" s="18"/>
    </row>
    <row r="2453" spans="2:2" x14ac:dyDescent="0.25">
      <c r="B2453" s="18" t="s">
        <v>40</v>
      </c>
    </row>
    <row r="2454" spans="2:2" x14ac:dyDescent="0.25">
      <c r="B2454" s="18" t="s">
        <v>42</v>
      </c>
    </row>
    <row r="2455" spans="2:2" x14ac:dyDescent="0.25">
      <c r="B2455" s="18" t="s">
        <v>25</v>
      </c>
    </row>
    <row r="2456" spans="2:2" x14ac:dyDescent="0.25">
      <c r="B2456" s="19"/>
    </row>
    <row r="2457" spans="2:2" x14ac:dyDescent="0.25">
      <c r="B2457" s="18" t="s">
        <v>194</v>
      </c>
    </row>
  </sheetData>
  <sheetProtection sheet="1"/>
  <phoneticPr fontId="3" type="noConversion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28CF5-F23D-4EDC-8F60-413E34361930}">
  <dimension ref="A1:B1066"/>
  <sheetViews>
    <sheetView topLeftCell="B1" zoomScale="130" zoomScaleNormal="130" workbookViewId="0">
      <selection activeCell="B1" sqref="B1"/>
    </sheetView>
  </sheetViews>
  <sheetFormatPr baseColWidth="10" defaultRowHeight="15" x14ac:dyDescent="0.25"/>
  <cols>
    <col min="1" max="1" width="4.140625" hidden="1" customWidth="1"/>
    <col min="2" max="2" width="122.7109375" bestFit="1" customWidth="1"/>
  </cols>
  <sheetData>
    <row r="1" spans="2:2" x14ac:dyDescent="0.25">
      <c r="B1" s="18" t="s">
        <v>19</v>
      </c>
    </row>
    <row r="2" spans="2:2" x14ac:dyDescent="0.25">
      <c r="B2" s="18" t="s">
        <v>191</v>
      </c>
    </row>
    <row r="3" spans="2:2" x14ac:dyDescent="0.25">
      <c r="B3" s="18" t="s">
        <v>143</v>
      </c>
    </row>
    <row r="4" spans="2:2" x14ac:dyDescent="0.25">
      <c r="B4" s="18" t="s">
        <v>251</v>
      </c>
    </row>
    <row r="5" spans="2:2" x14ac:dyDescent="0.25">
      <c r="B5" s="18" t="s">
        <v>252</v>
      </c>
    </row>
    <row r="6" spans="2:2" x14ac:dyDescent="0.25">
      <c r="B6" s="18" t="s">
        <v>20</v>
      </c>
    </row>
    <row r="7" spans="2:2" x14ac:dyDescent="0.25">
      <c r="B7" s="18" t="s">
        <v>229</v>
      </c>
    </row>
    <row r="8" spans="2:2" x14ac:dyDescent="0.25">
      <c r="B8" s="18" t="s">
        <v>230</v>
      </c>
    </row>
    <row r="9" spans="2:2" x14ac:dyDescent="0.25">
      <c r="B9" s="18" t="s">
        <v>231</v>
      </c>
    </row>
    <row r="10" spans="2:2" x14ac:dyDescent="0.25">
      <c r="B10" s="18" t="s">
        <v>232</v>
      </c>
    </row>
    <row r="11" spans="2:2" x14ac:dyDescent="0.25">
      <c r="B11" s="18" t="s">
        <v>233</v>
      </c>
    </row>
    <row r="12" spans="2:2" x14ac:dyDescent="0.25">
      <c r="B12" s="18" t="s">
        <v>234</v>
      </c>
    </row>
    <row r="13" spans="2:2" x14ac:dyDescent="0.25">
      <c r="B13" s="18" t="s">
        <v>235</v>
      </c>
    </row>
    <row r="14" spans="2:2" x14ac:dyDescent="0.25">
      <c r="B14" s="18" t="s">
        <v>236</v>
      </c>
    </row>
    <row r="15" spans="2:2" x14ac:dyDescent="0.25">
      <c r="B15" s="18" t="s">
        <v>237</v>
      </c>
    </row>
    <row r="16" spans="2:2" x14ac:dyDescent="0.25">
      <c r="B16" s="18" t="s">
        <v>21</v>
      </c>
    </row>
    <row r="17" spans="2:2" x14ac:dyDescent="0.25">
      <c r="B17" s="18" t="s">
        <v>192</v>
      </c>
    </row>
    <row r="18" spans="2:2" x14ac:dyDescent="0.25">
      <c r="B18" s="18" t="s">
        <v>193</v>
      </c>
    </row>
    <row r="19" spans="2:2" x14ac:dyDescent="0.25">
      <c r="B19" s="18"/>
    </row>
    <row r="20" spans="2:2" x14ac:dyDescent="0.25">
      <c r="B20" s="18" t="s">
        <v>40</v>
      </c>
    </row>
    <row r="21" spans="2:2" x14ac:dyDescent="0.25">
      <c r="B21" s="18" t="s">
        <v>41</v>
      </c>
    </row>
    <row r="22" spans="2:2" x14ac:dyDescent="0.25">
      <c r="B22" s="18" t="s">
        <v>25</v>
      </c>
    </row>
    <row r="23" spans="2:2" x14ac:dyDescent="0.25">
      <c r="B23" s="18"/>
    </row>
    <row r="24" spans="2:2" x14ac:dyDescent="0.25">
      <c r="B24" s="18" t="s">
        <v>22</v>
      </c>
    </row>
    <row r="25" spans="2:2" x14ac:dyDescent="0.25">
      <c r="B25" s="18" t="s">
        <v>23</v>
      </c>
    </row>
    <row r="26" spans="2:2" x14ac:dyDescent="0.25">
      <c r="B26" s="18" t="s">
        <v>52</v>
      </c>
    </row>
    <row r="27" spans="2:2" x14ac:dyDescent="0.25">
      <c r="B27" s="18" t="s">
        <v>244</v>
      </c>
    </row>
    <row r="28" spans="2:2" x14ac:dyDescent="0.25">
      <c r="B28" s="18" t="s">
        <v>24</v>
      </c>
    </row>
    <row r="29" spans="2:2" x14ac:dyDescent="0.25">
      <c r="B29" s="18" t="s">
        <v>53</v>
      </c>
    </row>
    <row r="30" spans="2:2" x14ac:dyDescent="0.25">
      <c r="B30" s="18" t="s">
        <v>245</v>
      </c>
    </row>
    <row r="31" spans="2:2" x14ac:dyDescent="0.25">
      <c r="B31" s="18" t="s">
        <v>25</v>
      </c>
    </row>
    <row r="32" spans="2:2" x14ac:dyDescent="0.25">
      <c r="B32" s="18"/>
    </row>
    <row r="33" spans="1:2" x14ac:dyDescent="0.25">
      <c r="B33" s="18" t="s">
        <v>213</v>
      </c>
    </row>
    <row r="34" spans="1:2" x14ac:dyDescent="0.25">
      <c r="B34" s="18" t="s">
        <v>210</v>
      </c>
    </row>
    <row r="35" spans="1:2" x14ac:dyDescent="0.25">
      <c r="B35" s="18" t="s">
        <v>213</v>
      </c>
    </row>
    <row r="36" spans="1:2" x14ac:dyDescent="0.25">
      <c r="B36" s="18" t="s">
        <v>138</v>
      </c>
    </row>
    <row r="37" spans="1:2" x14ac:dyDescent="0.25">
      <c r="B37" s="18" t="s">
        <v>240</v>
      </c>
    </row>
    <row r="38" spans="1:2" x14ac:dyDescent="0.25">
      <c r="B38" s="18" t="str">
        <f>"#define MPU_S_INIT_CTRL_ENABLE      "&amp;IF(CONFIG!A3,"1","0")</f>
        <v>#define MPU_S_INIT_CTRL_ENABLE      1</v>
      </c>
    </row>
    <row r="39" spans="1:2" x14ac:dyDescent="0.25">
      <c r="B39" s="18" t="str">
        <f>"#define MPU_S_INIT_CTRL_PRIVDEFENA  "&amp;IF(CONFIG!A4,"0x00000004","0x00000000")</f>
        <v>#define MPU_S_INIT_CTRL_PRIVDEFENA  0x00000004</v>
      </c>
    </row>
    <row r="40" spans="1:2" x14ac:dyDescent="0.25">
      <c r="B40" s="18" t="str">
        <f>"#define MPU_S_INIT_CTRL_HFNMIENA    "&amp;IF(CONFIG!A5,"0x00000002","0x00000000")</f>
        <v>#define MPU_S_INIT_CTRL_HFNMIENA    0x00000000</v>
      </c>
    </row>
    <row r="41" spans="1:2" x14ac:dyDescent="0.25">
      <c r="B41" s="18" t="s">
        <v>241</v>
      </c>
    </row>
    <row r="42" spans="1:2" x14ac:dyDescent="0.25">
      <c r="B42" s="18" t="s">
        <v>138</v>
      </c>
    </row>
    <row r="43" spans="1:2" x14ac:dyDescent="0.25">
      <c r="A43" s="2">
        <v>0</v>
      </c>
      <c r="B43" s="18" t="str">
        <f>"// MPU_S Region "&amp;A43&amp;" ********************************"</f>
        <v>// MPU_S Region 0 ********************************</v>
      </c>
    </row>
    <row r="44" spans="1:2" x14ac:dyDescent="0.25">
      <c r="A44" s="2">
        <v>7</v>
      </c>
      <c r="B44" s="24" t="str">
        <f ca="1">"#define MPU_S_CONFIG_REG"&amp;A43&amp;"  "&amp;N(INDIRECT("CONFIG!A"&amp;A44))</f>
        <v>#define MPU_S_CONFIG_REG0  1</v>
      </c>
    </row>
    <row r="45" spans="1:2" x14ac:dyDescent="0.25">
      <c r="A45">
        <f>A44+1</f>
        <v>8</v>
      </c>
      <c r="B45" s="18" t="str">
        <f ca="1">"#define MPU_S_ENABLE_REG"&amp;A43&amp;"  "&amp;N(INDIRECT("CONFIG!A"&amp;A45))</f>
        <v>#define MPU_S_ENABLE_REG0  1</v>
      </c>
    </row>
    <row r="46" spans="1:2" x14ac:dyDescent="0.25">
      <c r="A46">
        <f>A44+2</f>
        <v>9</v>
      </c>
      <c r="B46" s="18" t="str" cm="1">
        <f t="array" aca="1" ref="B46" ca="1">"#define MPU_S_BASE_REG"&amp;A43&amp;"    0x"&amp;INDIRECT("CONFIG!A"&amp;A46)</f>
        <v>#define MPU_S_BASE_REG0    0x20000000</v>
      </c>
    </row>
    <row r="47" spans="1:2" x14ac:dyDescent="0.25">
      <c r="A47">
        <f>A44+3</f>
        <v>10</v>
      </c>
      <c r="B47" s="18" t="str">
        <f ca="1">"#define MPU_S_END_REG"&amp;A43&amp;"     0x"&amp;DEC2HEX(HEX2DEC(INDIRECT("CONFIG!A"&amp;A47))+1,8)</f>
        <v>#define MPU_S_END_REG0     0x20000020</v>
      </c>
    </row>
    <row r="48" spans="1:2" x14ac:dyDescent="0.25">
      <c r="B48" s="18" t="str">
        <f>"#define MPU_S_LIMIT_REG"&amp;A43&amp;"   (MPU_S_END_REG"&amp;A43&amp;"-1)"</f>
        <v>#define MPU_S_LIMIT_REG0   (MPU_S_END_REG0-1)</v>
      </c>
    </row>
    <row r="49" spans="1:2" x14ac:dyDescent="0.25">
      <c r="B49" s="18" t="s">
        <v>214</v>
      </c>
    </row>
    <row r="50" spans="1:2" x14ac:dyDescent="0.25">
      <c r="A50">
        <f>A44+4</f>
        <v>11</v>
      </c>
      <c r="B50" s="18" t="str" cm="1">
        <f t="array" aca="1" ref="B50" ca="1">"#define MPU_S_PERM_REG"&amp;A43&amp;"    "&amp;INDIRECT("CONFIG!A"&amp;A50)-1</f>
        <v>#define MPU_S_PERM_REG0    1</v>
      </c>
    </row>
    <row r="51" spans="1:2" x14ac:dyDescent="0.25">
      <c r="A51">
        <f>A44+5</f>
        <v>12</v>
      </c>
      <c r="B51" s="18" t="str">
        <f ca="1">"#define MPU_S_XN_REG"&amp;A43&amp;"      "&amp;N(INDIRECT("CONFIG!A"&amp;A51))</f>
        <v>#define MPU_S_XN_REG0      1</v>
      </c>
    </row>
    <row r="52" spans="1:2" x14ac:dyDescent="0.25">
      <c r="A52">
        <f>A44+6</f>
        <v>13</v>
      </c>
      <c r="B52" s="18" t="str">
        <f ca="1">"#define MPU_S_PXN_REG"&amp;A43&amp;"     "&amp;N(INDIRECT("CONFIG!A"&amp;A52))</f>
        <v>#define MPU_S_PXN_REG0     0</v>
      </c>
    </row>
    <row r="53" spans="1:2" x14ac:dyDescent="0.25">
      <c r="A53">
        <f>A44+7</f>
        <v>14</v>
      </c>
      <c r="B53" s="18" t="str" cm="1">
        <f t="array" aca="1" ref="B53" ca="1">"#define MPU_S_SHARE_REG"&amp;A43&amp;"   "&amp;(INDIRECT("CONFIG!A"&amp;A53)-1)</f>
        <v>#define MPU_S_SHARE_REG0   3</v>
      </c>
    </row>
    <row r="54" spans="1:2" x14ac:dyDescent="0.25">
      <c r="A54">
        <f>A44+8</f>
        <v>15</v>
      </c>
      <c r="B54" s="18" t="str" cm="1">
        <f t="array" aca="1" ref="B54" ca="1">"#define MPU_S_ATTRIND"&amp;A43&amp;"     "&amp;INDIRECT("CONFIG!A"&amp;A54)-1</f>
        <v>#define MPU_S_ATTRIND0     1</v>
      </c>
    </row>
    <row r="55" spans="1:2" x14ac:dyDescent="0.25">
      <c r="B55" s="18" t="s">
        <v>138</v>
      </c>
    </row>
    <row r="56" spans="1:2" x14ac:dyDescent="0.25">
      <c r="A56" s="2">
        <f>A43+1</f>
        <v>1</v>
      </c>
      <c r="B56" s="18" t="str">
        <f>"// MPU_S Region "&amp;A56&amp;" ********************************"</f>
        <v>// MPU_S Region 1 ********************************</v>
      </c>
    </row>
    <row r="57" spans="1:2" x14ac:dyDescent="0.25">
      <c r="A57" s="2">
        <f>A44+10</f>
        <v>17</v>
      </c>
      <c r="B57" s="24" t="str">
        <f ca="1">"#define MPU_S_CONFIG_REG"&amp;A56&amp;"  "&amp;N(INDIRECT("CONFIG!A"&amp;A57))</f>
        <v>#define MPU_S_CONFIG_REG1  0</v>
      </c>
    </row>
    <row r="58" spans="1:2" x14ac:dyDescent="0.25">
      <c r="A58">
        <f>A57+1</f>
        <v>18</v>
      </c>
      <c r="B58" s="18" t="str">
        <f ca="1">"#define MPU_S_ENABLE_REG"&amp;A56&amp;"  "&amp;N(INDIRECT("CONFIG!A"&amp;A58))</f>
        <v>#define MPU_S_ENABLE_REG1  1</v>
      </c>
    </row>
    <row r="59" spans="1:2" x14ac:dyDescent="0.25">
      <c r="A59">
        <f>A57+2</f>
        <v>19</v>
      </c>
      <c r="B59" s="18" t="str" cm="1">
        <f t="array" aca="1" ref="B59" ca="1">"#define MPU_S_BASE_REG"&amp;A56&amp;"    0x"&amp;INDIRECT("CONFIG!A"&amp;A59)</f>
        <v>#define MPU_S_BASE_REG1    0x00000000</v>
      </c>
    </row>
    <row r="60" spans="1:2" x14ac:dyDescent="0.25">
      <c r="A60">
        <f>A57+3</f>
        <v>20</v>
      </c>
      <c r="B60" s="18" t="str">
        <f ca="1">"#define MPU_S_END_REG"&amp;A56&amp;"     0x"&amp;DEC2HEX(HEX2DEC(INDIRECT("CONFIG!A"&amp;A60))+1,8)</f>
        <v>#define MPU_S_END_REG1     0x00000020</v>
      </c>
    </row>
    <row r="61" spans="1:2" x14ac:dyDescent="0.25">
      <c r="B61" s="18" t="str">
        <f>"#define MPU_S_LIMIT_REG"&amp;A56&amp;"   (MPU_S_END_REG"&amp;A56&amp;"-1)"</f>
        <v>#define MPU_S_LIMIT_REG1   (MPU_S_END_REG1-1)</v>
      </c>
    </row>
    <row r="62" spans="1:2" x14ac:dyDescent="0.25">
      <c r="B62" s="18" t="s">
        <v>214</v>
      </c>
    </row>
    <row r="63" spans="1:2" x14ac:dyDescent="0.25">
      <c r="A63">
        <f>A57+4</f>
        <v>21</v>
      </c>
      <c r="B63" s="18" t="str" cm="1">
        <f t="array" aca="1" ref="B63" ca="1">"#define MPU_S_PERM_REG"&amp;A56&amp;"    "&amp;INDIRECT("CONFIG!A"&amp;A63)-1</f>
        <v>#define MPU_S_PERM_REG1    0</v>
      </c>
    </row>
    <row r="64" spans="1:2" x14ac:dyDescent="0.25">
      <c r="A64">
        <f>A57+5</f>
        <v>22</v>
      </c>
      <c r="B64" s="18" t="str">
        <f ca="1">"#define MPU_S_XN_REG"&amp;A56&amp;"      "&amp;N(INDIRECT("CONFIG!A"&amp;A64))</f>
        <v>#define MPU_S_XN_REG1      0</v>
      </c>
    </row>
    <row r="65" spans="1:2" x14ac:dyDescent="0.25">
      <c r="A65">
        <f>A57+6</f>
        <v>23</v>
      </c>
      <c r="B65" s="18" t="str">
        <f ca="1">"#define MPU_S_PXN_REG"&amp;A56&amp;"     "&amp;N(INDIRECT("CONFIG!A"&amp;A65))</f>
        <v>#define MPU_S_PXN_REG1     0</v>
      </c>
    </row>
    <row r="66" spans="1:2" x14ac:dyDescent="0.25">
      <c r="A66">
        <f>A57+7</f>
        <v>24</v>
      </c>
      <c r="B66" s="18" t="str" cm="1">
        <f t="array" aca="1" ref="B66" ca="1">"#define MPU_S_SHARE_REG"&amp;A56&amp;"   "&amp;(INDIRECT("CONFIG!A"&amp;A66)-1)</f>
        <v>#define MPU_S_SHARE_REG1   0</v>
      </c>
    </row>
    <row r="67" spans="1:2" x14ac:dyDescent="0.25">
      <c r="A67">
        <f>A57+8</f>
        <v>25</v>
      </c>
      <c r="B67" s="18" t="str" cm="1">
        <f t="array" aca="1" ref="B67" ca="1">"#define MPU_S_ATTRIND"&amp;A56&amp;"     "&amp;INDIRECT("CONFIG!A"&amp;A67)-1</f>
        <v>#define MPU_S_ATTRIND1     1</v>
      </c>
    </row>
    <row r="68" spans="1:2" x14ac:dyDescent="0.25">
      <c r="B68" s="18" t="s">
        <v>138</v>
      </c>
    </row>
    <row r="69" spans="1:2" x14ac:dyDescent="0.25">
      <c r="A69" s="2">
        <f>A56+1</f>
        <v>2</v>
      </c>
      <c r="B69" s="18" t="str">
        <f>"// MPU_S Region "&amp;A69&amp;" ********************************"</f>
        <v>// MPU_S Region 2 ********************************</v>
      </c>
    </row>
    <row r="70" spans="1:2" x14ac:dyDescent="0.25">
      <c r="A70" s="2">
        <f>A57+10</f>
        <v>27</v>
      </c>
      <c r="B70" s="24" t="str">
        <f ca="1">"#define MPU_S_CONFIG_REG"&amp;A69&amp;"  "&amp;N(INDIRECT("CONFIG!A"&amp;A70))</f>
        <v>#define MPU_S_CONFIG_REG2  0</v>
      </c>
    </row>
    <row r="71" spans="1:2" x14ac:dyDescent="0.25">
      <c r="A71">
        <f>A70+1</f>
        <v>28</v>
      </c>
      <c r="B71" s="18" t="str">
        <f ca="1">"#define MPU_S_ENABLE_REG"&amp;A69&amp;"  "&amp;N(INDIRECT("CONFIG!A"&amp;A71))</f>
        <v>#define MPU_S_ENABLE_REG2  1</v>
      </c>
    </row>
    <row r="72" spans="1:2" x14ac:dyDescent="0.25">
      <c r="A72">
        <f>A70+2</f>
        <v>29</v>
      </c>
      <c r="B72" s="18" t="str" cm="1">
        <f t="array" aca="1" ref="B72" ca="1">"#define MPU_S_BASE_REG"&amp;A69&amp;"    0x"&amp;INDIRECT("CONFIG!A"&amp;A72)</f>
        <v>#define MPU_S_BASE_REG2    0x00000000</v>
      </c>
    </row>
    <row r="73" spans="1:2" x14ac:dyDescent="0.25">
      <c r="A73">
        <f>A70+3</f>
        <v>30</v>
      </c>
      <c r="B73" s="18" t="str">
        <f ca="1">"#define MPU_S_END_REG"&amp;A69&amp;"     0x"&amp;DEC2HEX(HEX2DEC(INDIRECT("CONFIG!A"&amp;A73))+1,8)</f>
        <v>#define MPU_S_END_REG2     0x00000020</v>
      </c>
    </row>
    <row r="74" spans="1:2" x14ac:dyDescent="0.25">
      <c r="B74" s="18" t="str">
        <f>"#define MPU_S_LIMIT_REG"&amp;A69&amp;"   (MPU_S_END_REG"&amp;A69&amp;"-1)"</f>
        <v>#define MPU_S_LIMIT_REG2   (MPU_S_END_REG2-1)</v>
      </c>
    </row>
    <row r="75" spans="1:2" x14ac:dyDescent="0.25">
      <c r="B75" s="18" t="s">
        <v>214</v>
      </c>
    </row>
    <row r="76" spans="1:2" x14ac:dyDescent="0.25">
      <c r="A76">
        <f>A70+4</f>
        <v>31</v>
      </c>
      <c r="B76" s="18" t="str" cm="1">
        <f t="array" aca="1" ref="B76" ca="1">"#define MPU_S_PERM_REG"&amp;A69&amp;"    "&amp;INDIRECT("CONFIG!A"&amp;A76)-1</f>
        <v>#define MPU_S_PERM_REG2    0</v>
      </c>
    </row>
    <row r="77" spans="1:2" x14ac:dyDescent="0.25">
      <c r="A77">
        <f>A70+5</f>
        <v>32</v>
      </c>
      <c r="B77" s="18" t="str">
        <f ca="1">"#define MPU_S_XN_REG"&amp;A69&amp;"      "&amp;N(INDIRECT("CONFIG!A"&amp;A77))</f>
        <v>#define MPU_S_XN_REG2      0</v>
      </c>
    </row>
    <row r="78" spans="1:2" x14ac:dyDescent="0.25">
      <c r="A78">
        <f>A70+6</f>
        <v>33</v>
      </c>
      <c r="B78" s="18" t="str">
        <f ca="1">"#define MPU_S_PXN_REG"&amp;A69&amp;"     "&amp;N(INDIRECT("CONFIG!A"&amp;A78))</f>
        <v>#define MPU_S_PXN_REG2     0</v>
      </c>
    </row>
    <row r="79" spans="1:2" x14ac:dyDescent="0.25">
      <c r="A79">
        <f>A70+7</f>
        <v>34</v>
      </c>
      <c r="B79" s="18" t="str" cm="1">
        <f t="array" aca="1" ref="B79" ca="1">"#define MPU_S_SHARE_REG"&amp;A69&amp;"   "&amp;(INDIRECT("CONFIG!A"&amp;A79)-1)</f>
        <v>#define MPU_S_SHARE_REG2   1</v>
      </c>
    </row>
    <row r="80" spans="1:2" x14ac:dyDescent="0.25">
      <c r="A80">
        <f>A70+8</f>
        <v>35</v>
      </c>
      <c r="B80" s="18" t="str" cm="1">
        <f t="array" aca="1" ref="B80" ca="1">"#define MPU_S_ATTRIND"&amp;A69&amp;"     "&amp;INDIRECT("CONFIG!A"&amp;A80)-1</f>
        <v>#define MPU_S_ATTRIND2     2</v>
      </c>
    </row>
    <row r="81" spans="1:2" x14ac:dyDescent="0.25">
      <c r="B81" s="18" t="s">
        <v>138</v>
      </c>
    </row>
    <row r="82" spans="1:2" x14ac:dyDescent="0.25">
      <c r="A82" s="2">
        <f>A69+1</f>
        <v>3</v>
      </c>
      <c r="B82" s="18" t="str">
        <f>"// MPU_S Region "&amp;A82&amp;" ********************************"</f>
        <v>// MPU_S Region 3 ********************************</v>
      </c>
    </row>
    <row r="83" spans="1:2" x14ac:dyDescent="0.25">
      <c r="A83" s="2">
        <f>A70+10</f>
        <v>37</v>
      </c>
      <c r="B83" s="24" t="str">
        <f ca="1">"#define MPU_S_CONFIG_REG"&amp;A82&amp;"  "&amp;N(INDIRECT("CONFIG!A"&amp;A83))</f>
        <v>#define MPU_S_CONFIG_REG3  0</v>
      </c>
    </row>
    <row r="84" spans="1:2" x14ac:dyDescent="0.25">
      <c r="A84">
        <f>A83+1</f>
        <v>38</v>
      </c>
      <c r="B84" s="18" t="str">
        <f ca="1">"#define MPU_S_ENABLE_REG"&amp;A82&amp;"  "&amp;N(INDIRECT("CONFIG!A"&amp;A84))</f>
        <v>#define MPU_S_ENABLE_REG3  1</v>
      </c>
    </row>
    <row r="85" spans="1:2" x14ac:dyDescent="0.25">
      <c r="A85">
        <f>A83+2</f>
        <v>39</v>
      </c>
      <c r="B85" s="18" t="str" cm="1">
        <f t="array" aca="1" ref="B85" ca="1">"#define MPU_S_BASE_REG"&amp;A82&amp;"    0x"&amp;INDIRECT("CONFIG!A"&amp;A85)</f>
        <v>#define MPU_S_BASE_REG3    0x00000000</v>
      </c>
    </row>
    <row r="86" spans="1:2" x14ac:dyDescent="0.25">
      <c r="A86">
        <f>A83+3</f>
        <v>40</v>
      </c>
      <c r="B86" s="18" t="str">
        <f ca="1">"#define MPU_S_END_REG"&amp;A82&amp;"     0x"&amp;DEC2HEX(HEX2DEC(INDIRECT("CONFIG!A"&amp;A86))+1,8)</f>
        <v>#define MPU_S_END_REG3     0x00000020</v>
      </c>
    </row>
    <row r="87" spans="1:2" x14ac:dyDescent="0.25">
      <c r="B87" s="18" t="str">
        <f>"#define MPU_S_LIMIT_REG"&amp;A82&amp;"   (MPU_S_END_REG"&amp;A82&amp;"-1)"</f>
        <v>#define MPU_S_LIMIT_REG3   (MPU_S_END_REG3-1)</v>
      </c>
    </row>
    <row r="88" spans="1:2" x14ac:dyDescent="0.25">
      <c r="B88" s="18" t="s">
        <v>214</v>
      </c>
    </row>
    <row r="89" spans="1:2" x14ac:dyDescent="0.25">
      <c r="A89">
        <f>A83+4</f>
        <v>41</v>
      </c>
      <c r="B89" s="18" t="str" cm="1">
        <f t="array" aca="1" ref="B89" ca="1">"#define MPU_S_PERM_REG"&amp;A82&amp;"    "&amp;INDIRECT("CONFIG!A"&amp;A89)-1</f>
        <v>#define MPU_S_PERM_REG3    0</v>
      </c>
    </row>
    <row r="90" spans="1:2" x14ac:dyDescent="0.25">
      <c r="A90">
        <f>A83+5</f>
        <v>42</v>
      </c>
      <c r="B90" s="18" t="str">
        <f ca="1">"#define MPU_S_XN_REG"&amp;A82&amp;"      "&amp;N(INDIRECT("CONFIG!A"&amp;A90))</f>
        <v>#define MPU_S_XN_REG3      0</v>
      </c>
    </row>
    <row r="91" spans="1:2" x14ac:dyDescent="0.25">
      <c r="A91">
        <f>A83+6</f>
        <v>43</v>
      </c>
      <c r="B91" s="18" t="str">
        <f ca="1">"#define MPU_S_PXN_REG"&amp;A82&amp;"     "&amp;N(INDIRECT("CONFIG!A"&amp;A91))</f>
        <v>#define MPU_S_PXN_REG3     0</v>
      </c>
    </row>
    <row r="92" spans="1:2" x14ac:dyDescent="0.25">
      <c r="A92">
        <f>A83+7</f>
        <v>44</v>
      </c>
      <c r="B92" s="18" t="str" cm="1">
        <f t="array" aca="1" ref="B92" ca="1">"#define MPU_S_SHARE_REG"&amp;A82&amp;"   "&amp;(INDIRECT("CONFIG!A"&amp;A92)-1)</f>
        <v>#define MPU_S_SHARE_REG3   0</v>
      </c>
    </row>
    <row r="93" spans="1:2" x14ac:dyDescent="0.25">
      <c r="A93">
        <f>A83+8</f>
        <v>45</v>
      </c>
      <c r="B93" s="18" t="str" cm="1">
        <f t="array" aca="1" ref="B93" ca="1">"#define MPU_S_ATTRIND"&amp;A82&amp;"     "&amp;INDIRECT("CONFIG!A"&amp;A93)-1</f>
        <v>#define MPU_S_ATTRIND3     3</v>
      </c>
    </row>
    <row r="94" spans="1:2" x14ac:dyDescent="0.25">
      <c r="B94" s="18" t="s">
        <v>138</v>
      </c>
    </row>
    <row r="95" spans="1:2" x14ac:dyDescent="0.25">
      <c r="A95" s="2">
        <f>A82+1</f>
        <v>4</v>
      </c>
      <c r="B95" s="18" t="str">
        <f>"// MPU_S Region "&amp;A95&amp;" ********************************"</f>
        <v>// MPU_S Region 4 ********************************</v>
      </c>
    </row>
    <row r="96" spans="1:2" x14ac:dyDescent="0.25">
      <c r="A96" s="2">
        <f>A83+10</f>
        <v>47</v>
      </c>
      <c r="B96" s="24" t="str">
        <f ca="1">"#define MPU_S_CONFIG_REG"&amp;A95&amp;"  "&amp;N(INDIRECT("CONFIG!A"&amp;A96))</f>
        <v>#define MPU_S_CONFIG_REG4  0</v>
      </c>
    </row>
    <row r="97" spans="1:2" x14ac:dyDescent="0.25">
      <c r="A97">
        <f>A96+1</f>
        <v>48</v>
      </c>
      <c r="B97" s="18" t="str">
        <f ca="1">"#define MPU_S_ENABLE_REG"&amp;A95&amp;"  "&amp;N(INDIRECT("CONFIG!A"&amp;A97))</f>
        <v>#define MPU_S_ENABLE_REG4  1</v>
      </c>
    </row>
    <row r="98" spans="1:2" x14ac:dyDescent="0.25">
      <c r="A98">
        <f>A96+2</f>
        <v>49</v>
      </c>
      <c r="B98" s="18" t="str" cm="1">
        <f t="array" aca="1" ref="B98" ca="1">"#define MPU_S_BASE_REG"&amp;A95&amp;"    0x"&amp;INDIRECT("CONFIG!A"&amp;A98)</f>
        <v>#define MPU_S_BASE_REG4    0x00000000</v>
      </c>
    </row>
    <row r="99" spans="1:2" x14ac:dyDescent="0.25">
      <c r="A99">
        <f>A96+3</f>
        <v>50</v>
      </c>
      <c r="B99" s="18" t="str">
        <f ca="1">"#define MPU_S_END_REG"&amp;A95&amp;"     0x"&amp;DEC2HEX(HEX2DEC(INDIRECT("CONFIG!A"&amp;A99))+1,8)</f>
        <v>#define MPU_S_END_REG4     0x00000020</v>
      </c>
    </row>
    <row r="100" spans="1:2" x14ac:dyDescent="0.25">
      <c r="B100" s="18" t="str">
        <f>"#define MPU_S_LIMIT_REG"&amp;A95&amp;"   (MPU_S_END_REG"&amp;A95&amp;"-1)"</f>
        <v>#define MPU_S_LIMIT_REG4   (MPU_S_END_REG4-1)</v>
      </c>
    </row>
    <row r="101" spans="1:2" x14ac:dyDescent="0.25">
      <c r="B101" s="18" t="s">
        <v>214</v>
      </c>
    </row>
    <row r="102" spans="1:2" x14ac:dyDescent="0.25">
      <c r="A102">
        <f>A96+4</f>
        <v>51</v>
      </c>
      <c r="B102" s="18" t="str" cm="1">
        <f t="array" aca="1" ref="B102" ca="1">"#define MPU_S_PERM_REG"&amp;A95&amp;"    "&amp;INDIRECT("CONFIG!A"&amp;A102)-1</f>
        <v>#define MPU_S_PERM_REG4    0</v>
      </c>
    </row>
    <row r="103" spans="1:2" x14ac:dyDescent="0.25">
      <c r="A103">
        <f>A96+5</f>
        <v>52</v>
      </c>
      <c r="B103" s="18" t="str">
        <f ca="1">"#define MPU_S_XN_REG"&amp;A95&amp;"      "&amp;N(INDIRECT("CONFIG!A"&amp;A103))</f>
        <v>#define MPU_S_XN_REG4      0</v>
      </c>
    </row>
    <row r="104" spans="1:2" x14ac:dyDescent="0.25">
      <c r="A104">
        <f>A96+6</f>
        <v>53</v>
      </c>
      <c r="B104" s="18" t="str">
        <f ca="1">"#define MPU_S_PXN_REG"&amp;A95&amp;"     "&amp;N(INDIRECT("CONFIG!A"&amp;A104))</f>
        <v>#define MPU_S_PXN_REG4     0</v>
      </c>
    </row>
    <row r="105" spans="1:2" x14ac:dyDescent="0.25">
      <c r="A105">
        <f>A96+7</f>
        <v>54</v>
      </c>
      <c r="B105" s="18" t="str" cm="1">
        <f t="array" aca="1" ref="B105" ca="1">"#define MPU_S_SHARE_REG"&amp;A95&amp;"   "&amp;(INDIRECT("CONFIG!A"&amp;A105)-1)</f>
        <v>#define MPU_S_SHARE_REG4   0</v>
      </c>
    </row>
    <row r="106" spans="1:2" x14ac:dyDescent="0.25">
      <c r="A106">
        <f>A96+8</f>
        <v>55</v>
      </c>
      <c r="B106" s="18" t="str" cm="1">
        <f t="array" aca="1" ref="B106" ca="1">"#define MPU_S_ATTRIND"&amp;A95&amp;"     "&amp;INDIRECT("CONFIG!A"&amp;A106)-1</f>
        <v>#define MPU_S_ATTRIND4     0</v>
      </c>
    </row>
    <row r="107" spans="1:2" x14ac:dyDescent="0.25">
      <c r="B107" s="18" t="s">
        <v>138</v>
      </c>
    </row>
    <row r="108" spans="1:2" x14ac:dyDescent="0.25">
      <c r="A108" s="2">
        <f>A95+1</f>
        <v>5</v>
      </c>
      <c r="B108" s="18" t="str">
        <f>"// MPU_S Region "&amp;A108&amp;" ********************************"</f>
        <v>// MPU_S Region 5 ********************************</v>
      </c>
    </row>
    <row r="109" spans="1:2" x14ac:dyDescent="0.25">
      <c r="A109" s="2">
        <f>A96+10</f>
        <v>57</v>
      </c>
      <c r="B109" s="24" t="str">
        <f ca="1">"#define MPU_S_CONFIG_REG"&amp;A108&amp;"  "&amp;N(INDIRECT("CONFIG!A"&amp;A109))</f>
        <v>#define MPU_S_CONFIG_REG5  0</v>
      </c>
    </row>
    <row r="110" spans="1:2" x14ac:dyDescent="0.25">
      <c r="A110">
        <f>A109+1</f>
        <v>58</v>
      </c>
      <c r="B110" s="18" t="str">
        <f ca="1">"#define MPU_S_ENABLE_REG"&amp;A108&amp;"  "&amp;N(INDIRECT("CONFIG!A"&amp;A110))</f>
        <v>#define MPU_S_ENABLE_REG5  1</v>
      </c>
    </row>
    <row r="111" spans="1:2" x14ac:dyDescent="0.25">
      <c r="A111">
        <f>A109+2</f>
        <v>59</v>
      </c>
      <c r="B111" s="18" t="str" cm="1">
        <f t="array" aca="1" ref="B111" ca="1">"#define MPU_S_BASE_REG"&amp;A108&amp;"    0x"&amp;INDIRECT("CONFIG!A"&amp;A111)</f>
        <v>#define MPU_S_BASE_REG5    0x00000000</v>
      </c>
    </row>
    <row r="112" spans="1:2" x14ac:dyDescent="0.25">
      <c r="A112">
        <f>A109+3</f>
        <v>60</v>
      </c>
      <c r="B112" s="18" t="str">
        <f ca="1">"#define MPU_S_END_REG"&amp;A108&amp;"     0x"&amp;DEC2HEX(HEX2DEC(INDIRECT("CONFIG!A"&amp;A112))+1,8)</f>
        <v>#define MPU_S_END_REG5     0x00000020</v>
      </c>
    </row>
    <row r="113" spans="1:2" x14ac:dyDescent="0.25">
      <c r="B113" s="18" t="str">
        <f>"#define MPU_S_LIMIT_REG"&amp;A108&amp;"   (MPU_S_END_REG"&amp;A108&amp;"-1)"</f>
        <v>#define MPU_S_LIMIT_REG5   (MPU_S_END_REG5-1)</v>
      </c>
    </row>
    <row r="114" spans="1:2" x14ac:dyDescent="0.25">
      <c r="B114" s="18" t="s">
        <v>214</v>
      </c>
    </row>
    <row r="115" spans="1:2" x14ac:dyDescent="0.25">
      <c r="A115">
        <f>A109+4</f>
        <v>61</v>
      </c>
      <c r="B115" s="18" t="str" cm="1">
        <f t="array" aca="1" ref="B115" ca="1">"#define MPU_S_PERM_REG"&amp;A108&amp;"    "&amp;INDIRECT("CONFIG!A"&amp;A115)-1</f>
        <v>#define MPU_S_PERM_REG5    0</v>
      </c>
    </row>
    <row r="116" spans="1:2" x14ac:dyDescent="0.25">
      <c r="A116">
        <f>A109+5</f>
        <v>62</v>
      </c>
      <c r="B116" s="18" t="str">
        <f ca="1">"#define MPU_S_XN_REG"&amp;A108&amp;"      "&amp;N(INDIRECT("CONFIG!A"&amp;A116))</f>
        <v>#define MPU_S_XN_REG5      0</v>
      </c>
    </row>
    <row r="117" spans="1:2" x14ac:dyDescent="0.25">
      <c r="A117">
        <f>A109+6</f>
        <v>63</v>
      </c>
      <c r="B117" s="18" t="str">
        <f ca="1">"#define MPU_S_PXN_REG"&amp;A108&amp;"     "&amp;N(INDIRECT("CONFIG!A"&amp;A117))</f>
        <v>#define MPU_S_PXN_REG5     0</v>
      </c>
    </row>
    <row r="118" spans="1:2" x14ac:dyDescent="0.25">
      <c r="A118">
        <f>A109+7</f>
        <v>64</v>
      </c>
      <c r="B118" s="18" t="str" cm="1">
        <f t="array" aca="1" ref="B118" ca="1">"#define MPU_S_SHARE_REG"&amp;A108&amp;"   "&amp;(INDIRECT("CONFIG!A"&amp;A118)-1)</f>
        <v>#define MPU_S_SHARE_REG5   1</v>
      </c>
    </row>
    <row r="119" spans="1:2" x14ac:dyDescent="0.25">
      <c r="A119">
        <f>A109+8</f>
        <v>65</v>
      </c>
      <c r="B119" s="18" t="str" cm="1">
        <f t="array" aca="1" ref="B119" ca="1">"#define MPU_S_ATTRIND"&amp;A108&amp;"     "&amp;INDIRECT("CONFIG!A"&amp;A119)-1</f>
        <v>#define MPU_S_ATTRIND5     7</v>
      </c>
    </row>
    <row r="120" spans="1:2" x14ac:dyDescent="0.25">
      <c r="B120" s="18" t="s">
        <v>138</v>
      </c>
    </row>
    <row r="121" spans="1:2" x14ac:dyDescent="0.25">
      <c r="A121" s="2">
        <f>A108+1</f>
        <v>6</v>
      </c>
      <c r="B121" s="18" t="str">
        <f>"// MPU_S Region "&amp;A121&amp;" ********************************"</f>
        <v>// MPU_S Region 6 ********************************</v>
      </c>
    </row>
    <row r="122" spans="1:2" x14ac:dyDescent="0.25">
      <c r="A122" s="2">
        <f>A109+10</f>
        <v>67</v>
      </c>
      <c r="B122" s="24" t="str">
        <f ca="1">"#define MPU_S_CONFIG_REG"&amp;A121&amp;"  "&amp;N(INDIRECT("CONFIG!A"&amp;A122))</f>
        <v>#define MPU_S_CONFIG_REG6  0</v>
      </c>
    </row>
    <row r="123" spans="1:2" x14ac:dyDescent="0.25">
      <c r="A123">
        <f>A122+1</f>
        <v>68</v>
      </c>
      <c r="B123" s="18" t="str">
        <f ca="1">"#define MPU_S_ENABLE_REG"&amp;A121&amp;"  "&amp;N(INDIRECT("CONFIG!A"&amp;A123))</f>
        <v>#define MPU_S_ENABLE_REG6  1</v>
      </c>
    </row>
    <row r="124" spans="1:2" x14ac:dyDescent="0.25">
      <c r="A124">
        <f>A122+2</f>
        <v>69</v>
      </c>
      <c r="B124" s="18" t="str" cm="1">
        <f t="array" aca="1" ref="B124" ca="1">"#define MPU_S_BASE_REG"&amp;A121&amp;"    0x"&amp;INDIRECT("CONFIG!A"&amp;A124)</f>
        <v>#define MPU_S_BASE_REG6    0x00000000</v>
      </c>
    </row>
    <row r="125" spans="1:2" x14ac:dyDescent="0.25">
      <c r="A125">
        <f>A122+3</f>
        <v>70</v>
      </c>
      <c r="B125" s="18" t="str">
        <f ca="1">"#define MPU_S_END_REG"&amp;A121&amp;"     0x"&amp;DEC2HEX(HEX2DEC(INDIRECT("CONFIG!A"&amp;A125))+1,8)</f>
        <v>#define MPU_S_END_REG6     0x00000020</v>
      </c>
    </row>
    <row r="126" spans="1:2" x14ac:dyDescent="0.25">
      <c r="B126" s="18" t="str">
        <f>"#define MPU_S_LIMIT_REG"&amp;A121&amp;"   (MPU_S_END_REG"&amp;A121&amp;"-1)"</f>
        <v>#define MPU_S_LIMIT_REG6   (MPU_S_END_REG6-1)</v>
      </c>
    </row>
    <row r="127" spans="1:2" x14ac:dyDescent="0.25">
      <c r="B127" s="18" t="s">
        <v>214</v>
      </c>
    </row>
    <row r="128" spans="1:2" x14ac:dyDescent="0.25">
      <c r="A128">
        <f>A122+4</f>
        <v>71</v>
      </c>
      <c r="B128" s="18" t="str" cm="1">
        <f t="array" aca="1" ref="B128" ca="1">"#define MPU_S_PERM_REG"&amp;A121&amp;"    "&amp;INDIRECT("CONFIG!A"&amp;A128)-1</f>
        <v>#define MPU_S_PERM_REG6    0</v>
      </c>
    </row>
    <row r="129" spans="1:2" x14ac:dyDescent="0.25">
      <c r="A129">
        <f>A122+5</f>
        <v>72</v>
      </c>
      <c r="B129" s="18" t="str">
        <f ca="1">"#define MPU_S_XN_REG"&amp;A121&amp;"      "&amp;N(INDIRECT("CONFIG!A"&amp;A129))</f>
        <v>#define MPU_S_XN_REG6      0</v>
      </c>
    </row>
    <row r="130" spans="1:2" x14ac:dyDescent="0.25">
      <c r="A130">
        <f>A122+6</f>
        <v>73</v>
      </c>
      <c r="B130" s="18" t="str">
        <f ca="1">"#define MPU_S_PXN_REG"&amp;A121&amp;"     "&amp;N(INDIRECT("CONFIG!A"&amp;A130))</f>
        <v>#define MPU_S_PXN_REG6     0</v>
      </c>
    </row>
    <row r="131" spans="1:2" x14ac:dyDescent="0.25">
      <c r="A131">
        <f>A122+7</f>
        <v>74</v>
      </c>
      <c r="B131" s="18" t="str" cm="1">
        <f t="array" aca="1" ref="B131" ca="1">"#define MPU_S_SHARE_REG"&amp;A121&amp;"   "&amp;(INDIRECT("CONFIG!A"&amp;A131)-1)</f>
        <v>#define MPU_S_SHARE_REG6   0</v>
      </c>
    </row>
    <row r="132" spans="1:2" x14ac:dyDescent="0.25">
      <c r="A132">
        <f>A122+8</f>
        <v>75</v>
      </c>
      <c r="B132" s="18" t="str" cm="1">
        <f t="array" aca="1" ref="B132" ca="1">"#define MPU_S_ATTRIND"&amp;A121&amp;"     "&amp;INDIRECT("CONFIG!A"&amp;A132)-1</f>
        <v>#define MPU_S_ATTRIND6     0</v>
      </c>
    </row>
    <row r="133" spans="1:2" x14ac:dyDescent="0.25">
      <c r="B133" s="18" t="s">
        <v>138</v>
      </c>
    </row>
    <row r="134" spans="1:2" x14ac:dyDescent="0.25">
      <c r="A134" s="2">
        <f>A121+1</f>
        <v>7</v>
      </c>
      <c r="B134" s="18" t="str">
        <f>"// MPU_S Region "&amp;A134&amp;" ********************************"</f>
        <v>// MPU_S Region 7 ********************************</v>
      </c>
    </row>
    <row r="135" spans="1:2" x14ac:dyDescent="0.25">
      <c r="A135" s="2">
        <f>A122+10</f>
        <v>77</v>
      </c>
      <c r="B135" s="24" t="str">
        <f ca="1">"#define MPU_S_CONFIG_REG"&amp;A134&amp;"  "&amp;N(INDIRECT("CONFIG!A"&amp;A135))</f>
        <v>#define MPU_S_CONFIG_REG7  0</v>
      </c>
    </row>
    <row r="136" spans="1:2" x14ac:dyDescent="0.25">
      <c r="A136">
        <f>A135+1</f>
        <v>78</v>
      </c>
      <c r="B136" s="18" t="str">
        <f ca="1">"#define MPU_S_ENABLE_REG"&amp;A134&amp;"  "&amp;N(INDIRECT("CONFIG!A"&amp;A136))</f>
        <v>#define MPU_S_ENABLE_REG7  1</v>
      </c>
    </row>
    <row r="137" spans="1:2" x14ac:dyDescent="0.25">
      <c r="A137">
        <f>A135+2</f>
        <v>79</v>
      </c>
      <c r="B137" s="18" t="str" cm="1">
        <f t="array" aca="1" ref="B137" ca="1">"#define MPU_S_BASE_REG"&amp;A134&amp;"    0x"&amp;INDIRECT("CONFIG!A"&amp;A137)</f>
        <v>#define MPU_S_BASE_REG7    0x00000000</v>
      </c>
    </row>
    <row r="138" spans="1:2" x14ac:dyDescent="0.25">
      <c r="A138">
        <f>A135+3</f>
        <v>80</v>
      </c>
      <c r="B138" s="18" t="str">
        <f ca="1">"#define MPU_S_END_REG"&amp;A134&amp;"     0x"&amp;DEC2HEX(HEX2DEC(INDIRECT("CONFIG!A"&amp;A138))+1,8)</f>
        <v>#define MPU_S_END_REG7     0x00000020</v>
      </c>
    </row>
    <row r="139" spans="1:2" x14ac:dyDescent="0.25">
      <c r="B139" s="18" t="str">
        <f>"#define MPU_S_LIMIT_REG"&amp;A134&amp;"   (MPU_S_END_REG"&amp;A134&amp;"-1)"</f>
        <v>#define MPU_S_LIMIT_REG7   (MPU_S_END_REG7-1)</v>
      </c>
    </row>
    <row r="140" spans="1:2" x14ac:dyDescent="0.25">
      <c r="B140" s="18" t="s">
        <v>214</v>
      </c>
    </row>
    <row r="141" spans="1:2" x14ac:dyDescent="0.25">
      <c r="A141">
        <f>A135+4</f>
        <v>81</v>
      </c>
      <c r="B141" s="18" t="str" cm="1">
        <f t="array" aca="1" ref="B141" ca="1">"#define MPU_S_PERM_REG"&amp;A134&amp;"    "&amp;INDIRECT("CONFIG!A"&amp;A141)-1</f>
        <v>#define MPU_S_PERM_REG7    0</v>
      </c>
    </row>
    <row r="142" spans="1:2" x14ac:dyDescent="0.25">
      <c r="A142">
        <f>A135+5</f>
        <v>82</v>
      </c>
      <c r="B142" s="18" t="str">
        <f ca="1">"#define MPU_S_XN_REG"&amp;A134&amp;"      "&amp;N(INDIRECT("CONFIG!A"&amp;A142))</f>
        <v>#define MPU_S_XN_REG7      0</v>
      </c>
    </row>
    <row r="143" spans="1:2" x14ac:dyDescent="0.25">
      <c r="A143">
        <f>A135+6</f>
        <v>83</v>
      </c>
      <c r="B143" s="18" t="str">
        <f ca="1">"#define MPU_S_PXN_REG"&amp;A134&amp;"     "&amp;N(INDIRECT("CONFIG!A"&amp;A143))</f>
        <v>#define MPU_S_PXN_REG7     0</v>
      </c>
    </row>
    <row r="144" spans="1:2" x14ac:dyDescent="0.25">
      <c r="A144">
        <f>A135+7</f>
        <v>84</v>
      </c>
      <c r="B144" s="18" t="str" cm="1">
        <f t="array" aca="1" ref="B144" ca="1">"#define MPU_S_SHARE_REG"&amp;A134&amp;"   "&amp;(INDIRECT("CONFIG!A"&amp;A144)-1)</f>
        <v>#define MPU_S_SHARE_REG7   0</v>
      </c>
    </row>
    <row r="145" spans="1:2" x14ac:dyDescent="0.25">
      <c r="A145">
        <f>A135+8</f>
        <v>85</v>
      </c>
      <c r="B145" s="18" t="str" cm="1">
        <f t="array" aca="1" ref="B145" ca="1">"#define MPU_S_ATTRIND"&amp;A134&amp;"     "&amp;INDIRECT("CONFIG!A"&amp;A145)-1</f>
        <v>#define MPU_S_ATTRIND7     0</v>
      </c>
    </row>
    <row r="146" spans="1:2" x14ac:dyDescent="0.25">
      <c r="B146" s="18" t="s">
        <v>138</v>
      </c>
    </row>
    <row r="147" spans="1:2" x14ac:dyDescent="0.25">
      <c r="A147" s="2">
        <f>A134+1</f>
        <v>8</v>
      </c>
      <c r="B147" s="18" t="str">
        <f>"// MPU_S Region "&amp;A147&amp;" ********************************"</f>
        <v>// MPU_S Region 8 ********************************</v>
      </c>
    </row>
    <row r="148" spans="1:2" x14ac:dyDescent="0.25">
      <c r="A148" s="2">
        <f>A135+10</f>
        <v>87</v>
      </c>
      <c r="B148" s="24" t="str">
        <f ca="1">"#define MPU_S_CONFIG_REG"&amp;A147&amp;"  "&amp;N(INDIRECT("CONFIG!A"&amp;A148))</f>
        <v>#define MPU_S_CONFIG_REG8  0</v>
      </c>
    </row>
    <row r="149" spans="1:2" x14ac:dyDescent="0.25">
      <c r="A149">
        <f>A148+1</f>
        <v>88</v>
      </c>
      <c r="B149" s="18" t="str">
        <f ca="1">"#define MPU_S_ENABLE_REG"&amp;A147&amp;"  "&amp;N(INDIRECT("CONFIG!A"&amp;A149))</f>
        <v>#define MPU_S_ENABLE_REG8  1</v>
      </c>
    </row>
    <row r="150" spans="1:2" x14ac:dyDescent="0.25">
      <c r="A150">
        <f>A148+2</f>
        <v>89</v>
      </c>
      <c r="B150" s="18" t="str" cm="1">
        <f t="array" aca="1" ref="B150" ca="1">"#define MPU_S_BASE_REG"&amp;A147&amp;"    0x"&amp;INDIRECT("CONFIG!A"&amp;A150)</f>
        <v>#define MPU_S_BASE_REG8    0x00000000</v>
      </c>
    </row>
    <row r="151" spans="1:2" x14ac:dyDescent="0.25">
      <c r="A151">
        <f>A148+3</f>
        <v>90</v>
      </c>
      <c r="B151" s="18" t="str">
        <f ca="1">"#define MPU_S_END_REG"&amp;A147&amp;"     0x"&amp;DEC2HEX(HEX2DEC(INDIRECT("CONFIG!A"&amp;A151))+1,8)</f>
        <v>#define MPU_S_END_REG8     0x00000020</v>
      </c>
    </row>
    <row r="152" spans="1:2" x14ac:dyDescent="0.25">
      <c r="B152" s="18" t="str">
        <f>"#define MPU_S_LIMIT_REG"&amp;A147&amp;"   (MPU_S_END_REG"&amp;A147&amp;"-1)"</f>
        <v>#define MPU_S_LIMIT_REG8   (MPU_S_END_REG8-1)</v>
      </c>
    </row>
    <row r="153" spans="1:2" x14ac:dyDescent="0.25">
      <c r="B153" s="18" t="s">
        <v>214</v>
      </c>
    </row>
    <row r="154" spans="1:2" x14ac:dyDescent="0.25">
      <c r="A154">
        <f>A148+4</f>
        <v>91</v>
      </c>
      <c r="B154" s="18" t="str" cm="1">
        <f t="array" aca="1" ref="B154" ca="1">"#define MPU_S_PERM_REG"&amp;A147&amp;"    "&amp;INDIRECT("CONFIG!A"&amp;A154)-1</f>
        <v>#define MPU_S_PERM_REG8    1</v>
      </c>
    </row>
    <row r="155" spans="1:2" x14ac:dyDescent="0.25">
      <c r="A155">
        <f>A148+5</f>
        <v>92</v>
      </c>
      <c r="B155" s="18" t="str">
        <f ca="1">"#define MPU_S_XN_REG"&amp;A147&amp;"      "&amp;N(INDIRECT("CONFIG!A"&amp;A155))</f>
        <v>#define MPU_S_XN_REG8      0</v>
      </c>
    </row>
    <row r="156" spans="1:2" x14ac:dyDescent="0.25">
      <c r="A156">
        <f>A148+6</f>
        <v>93</v>
      </c>
      <c r="B156" s="18" t="str">
        <f ca="1">"#define MPU_S_PXN_REG"&amp;A147&amp;"     "&amp;N(INDIRECT("CONFIG!A"&amp;A156))</f>
        <v>#define MPU_S_PXN_REG8     0</v>
      </c>
    </row>
    <row r="157" spans="1:2" x14ac:dyDescent="0.25">
      <c r="A157">
        <f>A148+7</f>
        <v>94</v>
      </c>
      <c r="B157" s="18" t="str" cm="1">
        <f t="array" aca="1" ref="B157" ca="1">"#define MPU_S_SHARE_REG"&amp;A147&amp;"   "&amp;(INDIRECT("CONFIG!A"&amp;A157)-1)</f>
        <v>#define MPU_S_SHARE_REG8   0</v>
      </c>
    </row>
    <row r="158" spans="1:2" x14ac:dyDescent="0.25">
      <c r="A158">
        <f>A148+8</f>
        <v>95</v>
      </c>
      <c r="B158" s="18" t="str" cm="1">
        <f t="array" aca="1" ref="B158" ca="1">"#define MPU_S_ATTRIND"&amp;A147&amp;"     "&amp;INDIRECT("CONFIG!A"&amp;A158)-1</f>
        <v>#define MPU_S_ATTRIND8     0</v>
      </c>
    </row>
    <row r="159" spans="1:2" x14ac:dyDescent="0.25">
      <c r="B159" s="18" t="s">
        <v>138</v>
      </c>
    </row>
    <row r="160" spans="1:2" x14ac:dyDescent="0.25">
      <c r="A160" s="2">
        <f>A147+1</f>
        <v>9</v>
      </c>
      <c r="B160" s="18" t="str">
        <f>"// MPU_S Region "&amp;A160&amp;" ********************************"</f>
        <v>// MPU_S Region 9 ********************************</v>
      </c>
    </row>
    <row r="161" spans="1:2" x14ac:dyDescent="0.25">
      <c r="A161" s="2">
        <f>A148+10</f>
        <v>97</v>
      </c>
      <c r="B161" s="24" t="str">
        <f ca="1">"#define MPU_S_CONFIG_REG"&amp;A160&amp;"  "&amp;N(INDIRECT("CONFIG!A"&amp;A161))</f>
        <v>#define MPU_S_CONFIG_REG9  0</v>
      </c>
    </row>
    <row r="162" spans="1:2" x14ac:dyDescent="0.25">
      <c r="A162">
        <f>A161+1</f>
        <v>98</v>
      </c>
      <c r="B162" s="18" t="str">
        <f ca="1">"#define MPU_S_ENABLE_REG"&amp;A160&amp;"  "&amp;N(INDIRECT("CONFIG!A"&amp;A162))</f>
        <v>#define MPU_S_ENABLE_REG9  0</v>
      </c>
    </row>
    <row r="163" spans="1:2" x14ac:dyDescent="0.25">
      <c r="A163">
        <f>A161+2</f>
        <v>99</v>
      </c>
      <c r="B163" s="18" t="str" cm="1">
        <f t="array" aca="1" ref="B163" ca="1">"#define MPU_S_BASE_REG"&amp;A160&amp;"    0x"&amp;INDIRECT("CONFIG!A"&amp;A163)</f>
        <v>#define MPU_S_BASE_REG9    0x00000000</v>
      </c>
    </row>
    <row r="164" spans="1:2" x14ac:dyDescent="0.25">
      <c r="A164">
        <f>A161+3</f>
        <v>100</v>
      </c>
      <c r="B164" s="18" t="str">
        <f ca="1">"#define MPU_S_END_REG"&amp;A160&amp;"     0x"&amp;DEC2HEX(HEX2DEC(INDIRECT("CONFIG!A"&amp;A164))+1,8)</f>
        <v>#define MPU_S_END_REG9     0x00000020</v>
      </c>
    </row>
    <row r="165" spans="1:2" x14ac:dyDescent="0.25">
      <c r="B165" s="18" t="str">
        <f>"#define MPU_S_LIMIT_REG"&amp;A160&amp;"   (MPU_S_END_REG"&amp;A160&amp;"-1)"</f>
        <v>#define MPU_S_LIMIT_REG9   (MPU_S_END_REG9-1)</v>
      </c>
    </row>
    <row r="166" spans="1:2" x14ac:dyDescent="0.25">
      <c r="B166" s="18" t="s">
        <v>214</v>
      </c>
    </row>
    <row r="167" spans="1:2" x14ac:dyDescent="0.25">
      <c r="A167">
        <f>A161+4</f>
        <v>101</v>
      </c>
      <c r="B167" s="18" t="str" cm="1">
        <f t="array" aca="1" ref="B167" ca="1">"#define MPU_S_PERM_REG"&amp;A160&amp;"    "&amp;INDIRECT("CONFIG!A"&amp;A167)-1</f>
        <v>#define MPU_S_PERM_REG9    0</v>
      </c>
    </row>
    <row r="168" spans="1:2" x14ac:dyDescent="0.25">
      <c r="A168">
        <f>A161+5</f>
        <v>102</v>
      </c>
      <c r="B168" s="18" t="str">
        <f ca="1">"#define MPU_S_XN_REG"&amp;A160&amp;"      "&amp;N(INDIRECT("CONFIG!A"&amp;A168))</f>
        <v>#define MPU_S_XN_REG9      0</v>
      </c>
    </row>
    <row r="169" spans="1:2" x14ac:dyDescent="0.25">
      <c r="A169">
        <f>A161+6</f>
        <v>103</v>
      </c>
      <c r="B169" s="18" t="str">
        <f ca="1">"#define MPU_S_PXN_REG"&amp;A160&amp;"     "&amp;N(INDIRECT("CONFIG!A"&amp;A169))</f>
        <v>#define MPU_S_PXN_REG9     0</v>
      </c>
    </row>
    <row r="170" spans="1:2" x14ac:dyDescent="0.25">
      <c r="A170">
        <f>A161+7</f>
        <v>104</v>
      </c>
      <c r="B170" s="18" t="str" cm="1">
        <f t="array" aca="1" ref="B170" ca="1">"#define MPU_S_SHARE_REG"&amp;A160&amp;"   "&amp;(INDIRECT("CONFIG!A"&amp;A170)-1)</f>
        <v>#define MPU_S_SHARE_REG9   0</v>
      </c>
    </row>
    <row r="171" spans="1:2" x14ac:dyDescent="0.25">
      <c r="A171">
        <f>A161+8</f>
        <v>105</v>
      </c>
      <c r="B171" s="18" t="str" cm="1">
        <f t="array" aca="1" ref="B171" ca="1">"#define MPU_S_ATTRIND"&amp;A160&amp;"     "&amp;INDIRECT("CONFIG!A"&amp;A171)-1</f>
        <v>#define MPU_S_ATTRIND9     0</v>
      </c>
    </row>
    <row r="172" spans="1:2" x14ac:dyDescent="0.25">
      <c r="B172" s="18" t="s">
        <v>138</v>
      </c>
    </row>
    <row r="173" spans="1:2" x14ac:dyDescent="0.25">
      <c r="A173" s="2">
        <f>A160+1</f>
        <v>10</v>
      </c>
      <c r="B173" s="18" t="str">
        <f>"// MPU_S Region "&amp;A173&amp;" ********************************"</f>
        <v>// MPU_S Region 10 ********************************</v>
      </c>
    </row>
    <row r="174" spans="1:2" x14ac:dyDescent="0.25">
      <c r="A174" s="2">
        <f>A161+10</f>
        <v>107</v>
      </c>
      <c r="B174" s="24" t="str">
        <f ca="1">"#define MPU_S_CONFIG_REG"&amp;A173&amp;" "&amp;N(INDIRECT("CONFIG!A"&amp;A174))</f>
        <v>#define MPU_S_CONFIG_REG10 0</v>
      </c>
    </row>
    <row r="175" spans="1:2" x14ac:dyDescent="0.25">
      <c r="A175">
        <f>A174+1</f>
        <v>108</v>
      </c>
      <c r="B175" s="18" t="str">
        <f ca="1">"#define MPU_S_ENABLE_REG"&amp;A173&amp;" "&amp;N(INDIRECT("CONFIG!A"&amp;A175))</f>
        <v>#define MPU_S_ENABLE_REG10 1</v>
      </c>
    </row>
    <row r="176" spans="1:2" x14ac:dyDescent="0.25">
      <c r="A176">
        <f>A174+2</f>
        <v>109</v>
      </c>
      <c r="B176" s="18" t="str" cm="1">
        <f t="array" aca="1" ref="B176" ca="1">"#define MPU_S_BASE_REG"&amp;A173&amp;"   0x"&amp;INDIRECT("CONFIG!A"&amp;A176)</f>
        <v>#define MPU_S_BASE_REG10   0x00000000</v>
      </c>
    </row>
    <row r="177" spans="1:2" x14ac:dyDescent="0.25">
      <c r="A177">
        <f>A174+3</f>
        <v>110</v>
      </c>
      <c r="B177" s="18" t="str">
        <f ca="1">"#define MPU_S_END_REG"&amp;A173&amp;"    0x"&amp;DEC2HEX(HEX2DEC(INDIRECT("CONFIG!A"&amp;A177))+1,8)</f>
        <v>#define MPU_S_END_REG10    0x00000020</v>
      </c>
    </row>
    <row r="178" spans="1:2" x14ac:dyDescent="0.25">
      <c r="B178" s="18" t="str">
        <f>"#define MPU_S_LIMIT_REG"&amp;A173&amp;"  (MPU_S_END_REG"&amp;A173&amp;"-1)"</f>
        <v>#define MPU_S_LIMIT_REG10  (MPU_S_END_REG10-1)</v>
      </c>
    </row>
    <row r="179" spans="1:2" x14ac:dyDescent="0.25">
      <c r="B179" s="18" t="s">
        <v>214</v>
      </c>
    </row>
    <row r="180" spans="1:2" x14ac:dyDescent="0.25">
      <c r="A180">
        <f>A174+4</f>
        <v>111</v>
      </c>
      <c r="B180" s="18" t="str" cm="1">
        <f t="array" aca="1" ref="B180" ca="1">"#define MPU_S_PERM_REG"&amp;A173&amp;"   "&amp;INDIRECT("CONFIG!A"&amp;A180)-1</f>
        <v>#define MPU_S_PERM_REG10   0</v>
      </c>
    </row>
    <row r="181" spans="1:2" x14ac:dyDescent="0.25">
      <c r="A181">
        <f>A174+5</f>
        <v>112</v>
      </c>
      <c r="B181" s="18" t="str">
        <f ca="1">"#define MPU_S_XN_REG"&amp;A173&amp;"     "&amp;N(INDIRECT("CONFIG!A"&amp;A181))</f>
        <v>#define MPU_S_XN_REG10     0</v>
      </c>
    </row>
    <row r="182" spans="1:2" x14ac:dyDescent="0.25">
      <c r="A182">
        <f>A174+6</f>
        <v>113</v>
      </c>
      <c r="B182" s="18" t="str">
        <f ca="1">"#define MPU_S_PXN_REG"&amp;A173&amp;"    "&amp;N(INDIRECT("CONFIG!A"&amp;A182))</f>
        <v>#define MPU_S_PXN_REG10    0</v>
      </c>
    </row>
    <row r="183" spans="1:2" x14ac:dyDescent="0.25">
      <c r="A183">
        <f>A174+7</f>
        <v>114</v>
      </c>
      <c r="B183" s="18" t="str" cm="1">
        <f t="array" aca="1" ref="B183" ca="1">"#define MPU_S_SHARE_REG"&amp;A173&amp;"  "&amp;(INDIRECT("CONFIG!A"&amp;A183)-1)</f>
        <v>#define MPU_S_SHARE_REG10  0</v>
      </c>
    </row>
    <row r="184" spans="1:2" x14ac:dyDescent="0.25">
      <c r="A184">
        <f>A174+8</f>
        <v>115</v>
      </c>
      <c r="B184" s="18" t="str" cm="1">
        <f t="array" aca="1" ref="B184" ca="1">"#define MPU_S_ATTRIND"&amp;A173&amp;"    "&amp;INDIRECT("CONFIG!A"&amp;A184)-1</f>
        <v>#define MPU_S_ATTRIND10    0</v>
      </c>
    </row>
    <row r="185" spans="1:2" x14ac:dyDescent="0.25">
      <c r="B185" s="18" t="s">
        <v>138</v>
      </c>
    </row>
    <row r="186" spans="1:2" x14ac:dyDescent="0.25">
      <c r="A186" s="2">
        <f>A173+1</f>
        <v>11</v>
      </c>
      <c r="B186" s="18" t="str">
        <f>"// MPU_S Region "&amp;A186&amp;" ********************************"</f>
        <v>// MPU_S Region 11 ********************************</v>
      </c>
    </row>
    <row r="187" spans="1:2" x14ac:dyDescent="0.25">
      <c r="A187" s="2">
        <f>A174+10</f>
        <v>117</v>
      </c>
      <c r="B187" s="24" t="str">
        <f ca="1">"#define MPU_S_CONFIG_REG"&amp;A186&amp;" "&amp;N(INDIRECT("CONFIG!A"&amp;A187))</f>
        <v>#define MPU_S_CONFIG_REG11 0</v>
      </c>
    </row>
    <row r="188" spans="1:2" x14ac:dyDescent="0.25">
      <c r="A188">
        <f>A187+1</f>
        <v>118</v>
      </c>
      <c r="B188" s="18" t="str">
        <f ca="1">"#define MPU_S_ENABLE_REG"&amp;A186&amp;" "&amp;N(INDIRECT("CONFIG!A"&amp;A188))</f>
        <v>#define MPU_S_ENABLE_REG11 1</v>
      </c>
    </row>
    <row r="189" spans="1:2" x14ac:dyDescent="0.25">
      <c r="A189">
        <f>A187+2</f>
        <v>119</v>
      </c>
      <c r="B189" s="18" t="str" cm="1">
        <f t="array" aca="1" ref="B189" ca="1">"#define MPU_S_BASE_REG"&amp;A186&amp;"   0x"&amp;INDIRECT("CONFIG!A"&amp;A189)</f>
        <v>#define MPU_S_BASE_REG11   0x00000000</v>
      </c>
    </row>
    <row r="190" spans="1:2" x14ac:dyDescent="0.25">
      <c r="A190">
        <f>A187+3</f>
        <v>120</v>
      </c>
      <c r="B190" s="18" t="str">
        <f ca="1">"#define MPU_S_END_REG"&amp;A186&amp;"    0x"&amp;DEC2HEX(HEX2DEC(INDIRECT("CONFIG!A"&amp;A190))+1,8)</f>
        <v>#define MPU_S_END_REG11    0x00000020</v>
      </c>
    </row>
    <row r="191" spans="1:2" x14ac:dyDescent="0.25">
      <c r="B191" s="18" t="str">
        <f>"#define MPU_S_LIMIT_REG"&amp;A186&amp;"  (MPU_S_END_REG"&amp;A186&amp;"-1)"</f>
        <v>#define MPU_S_LIMIT_REG11  (MPU_S_END_REG11-1)</v>
      </c>
    </row>
    <row r="192" spans="1:2" x14ac:dyDescent="0.25">
      <c r="B192" s="18" t="s">
        <v>214</v>
      </c>
    </row>
    <row r="193" spans="1:2" x14ac:dyDescent="0.25">
      <c r="A193">
        <f>A187+4</f>
        <v>121</v>
      </c>
      <c r="B193" s="18" t="str" cm="1">
        <f t="array" aca="1" ref="B193" ca="1">"#define MPU_S_PERM_REG"&amp;A186&amp;"   "&amp;INDIRECT("CONFIG!A"&amp;A193)-1</f>
        <v>#define MPU_S_PERM_REG11   0</v>
      </c>
    </row>
    <row r="194" spans="1:2" x14ac:dyDescent="0.25">
      <c r="A194">
        <f>A187+5</f>
        <v>122</v>
      </c>
      <c r="B194" s="18" t="str">
        <f ca="1">"#define MPU_S_XN_REG"&amp;A186&amp;"     "&amp;N(INDIRECT("CONFIG!A"&amp;A194))</f>
        <v>#define MPU_S_XN_REG11     0</v>
      </c>
    </row>
    <row r="195" spans="1:2" x14ac:dyDescent="0.25">
      <c r="A195">
        <f>A187+6</f>
        <v>123</v>
      </c>
      <c r="B195" s="18" t="str">
        <f ca="1">"#define MPU_S_PXN_REG"&amp;A186&amp;"    "&amp;N(INDIRECT("CONFIG!A"&amp;A195))</f>
        <v>#define MPU_S_PXN_REG11    0</v>
      </c>
    </row>
    <row r="196" spans="1:2" x14ac:dyDescent="0.25">
      <c r="A196">
        <f>A187+7</f>
        <v>124</v>
      </c>
      <c r="B196" s="18" t="str" cm="1">
        <f t="array" aca="1" ref="B196" ca="1">"#define MPU_S_SHARE_REG"&amp;A186&amp;"  "&amp;(INDIRECT("CONFIG!A"&amp;A196)-1)</f>
        <v>#define MPU_S_SHARE_REG11  0</v>
      </c>
    </row>
    <row r="197" spans="1:2" x14ac:dyDescent="0.25">
      <c r="A197">
        <f>A187+8</f>
        <v>125</v>
      </c>
      <c r="B197" s="18" t="str" cm="1">
        <f t="array" aca="1" ref="B197" ca="1">"#define MPU_S_ATTRIND"&amp;A186&amp;"    "&amp;INDIRECT("CONFIG!A"&amp;A197)-1</f>
        <v>#define MPU_S_ATTRIND11    0</v>
      </c>
    </row>
    <row r="198" spans="1:2" x14ac:dyDescent="0.25">
      <c r="B198" s="18" t="s">
        <v>138</v>
      </c>
    </row>
    <row r="199" spans="1:2" x14ac:dyDescent="0.25">
      <c r="A199" s="2">
        <f>A186+1</f>
        <v>12</v>
      </c>
      <c r="B199" s="18" t="str">
        <f>"// MPU_S Region "&amp;A199&amp;" ********************************"</f>
        <v>// MPU_S Region 12 ********************************</v>
      </c>
    </row>
    <row r="200" spans="1:2" x14ac:dyDescent="0.25">
      <c r="A200" s="2">
        <f>A187+10</f>
        <v>127</v>
      </c>
      <c r="B200" s="24" t="str">
        <f ca="1">"#define MPU_S_CONFIG_REG"&amp;A199&amp;" "&amp;N(INDIRECT("CONFIG!A"&amp;A200))</f>
        <v>#define MPU_S_CONFIG_REG12 0</v>
      </c>
    </row>
    <row r="201" spans="1:2" x14ac:dyDescent="0.25">
      <c r="A201">
        <f>A200+1</f>
        <v>128</v>
      </c>
      <c r="B201" s="18" t="str">
        <f ca="1">"#define MPU_S_ENABLE_REG"&amp;A199&amp;" "&amp;N(INDIRECT("CONFIG!A"&amp;A201))</f>
        <v>#define MPU_S_ENABLE_REG12 1</v>
      </c>
    </row>
    <row r="202" spans="1:2" x14ac:dyDescent="0.25">
      <c r="A202">
        <f>A200+2</f>
        <v>129</v>
      </c>
      <c r="B202" s="18" t="str" cm="1">
        <f t="array" aca="1" ref="B202" ca="1">"#define MPU_S_BASE_REG"&amp;A199&amp;"   0x"&amp;INDIRECT("CONFIG!A"&amp;A202)</f>
        <v>#define MPU_S_BASE_REG12   0x00000000</v>
      </c>
    </row>
    <row r="203" spans="1:2" x14ac:dyDescent="0.25">
      <c r="A203">
        <f>A200+3</f>
        <v>130</v>
      </c>
      <c r="B203" s="18" t="str">
        <f ca="1">"#define MPU_S_END_REG"&amp;A199&amp;"    0x"&amp;DEC2HEX(HEX2DEC(INDIRECT("CONFIG!A"&amp;A203))+1,8)</f>
        <v>#define MPU_S_END_REG12    0x00000020</v>
      </c>
    </row>
    <row r="204" spans="1:2" x14ac:dyDescent="0.25">
      <c r="B204" s="18" t="str">
        <f>"#define MPU_S_LIMIT_REG"&amp;A199&amp;"  (MPU_S_END_REG"&amp;A199&amp;"-1)"</f>
        <v>#define MPU_S_LIMIT_REG12  (MPU_S_END_REG12-1)</v>
      </c>
    </row>
    <row r="205" spans="1:2" x14ac:dyDescent="0.25">
      <c r="B205" s="18" t="s">
        <v>214</v>
      </c>
    </row>
    <row r="206" spans="1:2" x14ac:dyDescent="0.25">
      <c r="A206">
        <f>A200+4</f>
        <v>131</v>
      </c>
      <c r="B206" s="18" t="str" cm="1">
        <f t="array" aca="1" ref="B206" ca="1">"#define MPU_S_PERM_REG"&amp;A199&amp;"   "&amp;INDIRECT("CONFIG!A"&amp;A206)-1</f>
        <v>#define MPU_S_PERM_REG12   0</v>
      </c>
    </row>
    <row r="207" spans="1:2" x14ac:dyDescent="0.25">
      <c r="A207">
        <f>A200+5</f>
        <v>132</v>
      </c>
      <c r="B207" s="18" t="str">
        <f ca="1">"#define MPU_S_XN_REG"&amp;A199&amp;"     "&amp;N(INDIRECT("CONFIG!A"&amp;A207))</f>
        <v>#define MPU_S_XN_REG12     0</v>
      </c>
    </row>
    <row r="208" spans="1:2" x14ac:dyDescent="0.25">
      <c r="A208">
        <f>A200+6</f>
        <v>133</v>
      </c>
      <c r="B208" s="18" t="str">
        <f ca="1">"#define MPU_S_PXN_REG"&amp;A199&amp;"    "&amp;N(INDIRECT("CONFIG!A"&amp;A208))</f>
        <v>#define MPU_S_PXN_REG12    0</v>
      </c>
    </row>
    <row r="209" spans="1:2" x14ac:dyDescent="0.25">
      <c r="A209">
        <f>A200+7</f>
        <v>134</v>
      </c>
      <c r="B209" s="18" t="str" cm="1">
        <f t="array" aca="1" ref="B209" ca="1">"#define MPU_S_SHARE_REG"&amp;A199&amp;"  "&amp;(INDIRECT("CONFIG!A"&amp;A209)-1)</f>
        <v>#define MPU_S_SHARE_REG12  0</v>
      </c>
    </row>
    <row r="210" spans="1:2" x14ac:dyDescent="0.25">
      <c r="A210">
        <f>A200+8</f>
        <v>135</v>
      </c>
      <c r="B210" s="18" t="str" cm="1">
        <f t="array" aca="1" ref="B210" ca="1">"#define MPU_S_ATTRIND"&amp;A199&amp;"    "&amp;INDIRECT("CONFIG!A"&amp;A210)-1</f>
        <v>#define MPU_S_ATTRIND12    0</v>
      </c>
    </row>
    <row r="211" spans="1:2" x14ac:dyDescent="0.25">
      <c r="B211" s="18" t="s">
        <v>138</v>
      </c>
    </row>
    <row r="212" spans="1:2" x14ac:dyDescent="0.25">
      <c r="A212" s="2">
        <f>A199+1</f>
        <v>13</v>
      </c>
      <c r="B212" s="18" t="str">
        <f>"// MPU_S Region "&amp;A212&amp;" ********************************"</f>
        <v>// MPU_S Region 13 ********************************</v>
      </c>
    </row>
    <row r="213" spans="1:2" x14ac:dyDescent="0.25">
      <c r="A213" s="2">
        <f>A200+10</f>
        <v>137</v>
      </c>
      <c r="B213" s="24" t="str">
        <f ca="1">"#define MPU_S_CONFIG_REG"&amp;A212&amp;" "&amp;N(INDIRECT("CONFIG!A"&amp;A213))</f>
        <v>#define MPU_S_CONFIG_REG13 0</v>
      </c>
    </row>
    <row r="214" spans="1:2" x14ac:dyDescent="0.25">
      <c r="A214">
        <f>A213+1</f>
        <v>138</v>
      </c>
      <c r="B214" s="18" t="str">
        <f ca="1">"#define MPU_S_ENABLE_REG"&amp;A212&amp;" "&amp;N(INDIRECT("CONFIG!A"&amp;A214))</f>
        <v>#define MPU_S_ENABLE_REG13 1</v>
      </c>
    </row>
    <row r="215" spans="1:2" x14ac:dyDescent="0.25">
      <c r="A215">
        <f>A213+2</f>
        <v>139</v>
      </c>
      <c r="B215" s="18" t="str" cm="1">
        <f t="array" aca="1" ref="B215" ca="1">"#define MPU_S_BASE_REG"&amp;A212&amp;"   0x"&amp;INDIRECT("CONFIG!A"&amp;A215)</f>
        <v>#define MPU_S_BASE_REG13   0x00000000</v>
      </c>
    </row>
    <row r="216" spans="1:2" x14ac:dyDescent="0.25">
      <c r="A216">
        <f>A213+3</f>
        <v>140</v>
      </c>
      <c r="B216" s="18" t="str">
        <f ca="1">"#define MPU_S_END_REG"&amp;A212&amp;"    0x"&amp;DEC2HEX(HEX2DEC(INDIRECT("CONFIG!A"&amp;A216))+1,8)</f>
        <v>#define MPU_S_END_REG13    0x00000020</v>
      </c>
    </row>
    <row r="217" spans="1:2" x14ac:dyDescent="0.25">
      <c r="B217" s="18" t="str">
        <f>"#define MPU_S_LIMIT_REG"&amp;A212&amp;"  (MPU_S_END_REG"&amp;A212&amp;"-1)"</f>
        <v>#define MPU_S_LIMIT_REG13  (MPU_S_END_REG13-1)</v>
      </c>
    </row>
    <row r="218" spans="1:2" x14ac:dyDescent="0.25">
      <c r="B218" s="18" t="s">
        <v>214</v>
      </c>
    </row>
    <row r="219" spans="1:2" x14ac:dyDescent="0.25">
      <c r="A219">
        <f>A213+4</f>
        <v>141</v>
      </c>
      <c r="B219" s="18" t="str" cm="1">
        <f t="array" aca="1" ref="B219" ca="1">"#define MPU_S_PERM_REG"&amp;A212&amp;"   "&amp;INDIRECT("CONFIG!A"&amp;A219)-1</f>
        <v>#define MPU_S_PERM_REG13   0</v>
      </c>
    </row>
    <row r="220" spans="1:2" x14ac:dyDescent="0.25">
      <c r="A220">
        <f>A213+5</f>
        <v>142</v>
      </c>
      <c r="B220" s="18" t="str">
        <f ca="1">"#define MPU_S_XN_REG"&amp;A212&amp;"     "&amp;N(INDIRECT("CONFIG!A"&amp;A220))</f>
        <v>#define MPU_S_XN_REG13     0</v>
      </c>
    </row>
    <row r="221" spans="1:2" x14ac:dyDescent="0.25">
      <c r="A221">
        <f>A213+6</f>
        <v>143</v>
      </c>
      <c r="B221" s="18" t="str">
        <f ca="1">"#define MPU_S_PXN_REG"&amp;A212&amp;"    "&amp;N(INDIRECT("CONFIG!A"&amp;A221))</f>
        <v>#define MPU_S_PXN_REG13    0</v>
      </c>
    </row>
    <row r="222" spans="1:2" x14ac:dyDescent="0.25">
      <c r="A222">
        <f>A213+7</f>
        <v>144</v>
      </c>
      <c r="B222" s="18" t="str" cm="1">
        <f t="array" aca="1" ref="B222" ca="1">"#define MPU_S_SHARE_REG"&amp;A212&amp;"  "&amp;(INDIRECT("CONFIG!A"&amp;A222)-1)</f>
        <v>#define MPU_S_SHARE_REG13  0</v>
      </c>
    </row>
    <row r="223" spans="1:2" x14ac:dyDescent="0.25">
      <c r="A223">
        <f>A213+8</f>
        <v>145</v>
      </c>
      <c r="B223" s="18" t="str" cm="1">
        <f t="array" aca="1" ref="B223" ca="1">"#define MPU_S_ATTRIND"&amp;A212&amp;"    "&amp;INDIRECT("CONFIG!A"&amp;A223)-1</f>
        <v>#define MPU_S_ATTRIND13    0</v>
      </c>
    </row>
    <row r="224" spans="1:2" x14ac:dyDescent="0.25">
      <c r="B224" s="18" t="s">
        <v>138</v>
      </c>
    </row>
    <row r="225" spans="1:2" x14ac:dyDescent="0.25">
      <c r="A225" s="2">
        <f>A212+1</f>
        <v>14</v>
      </c>
      <c r="B225" s="18" t="str">
        <f>"// MPU_S Region "&amp;A225&amp;" ********************************"</f>
        <v>// MPU_S Region 14 ********************************</v>
      </c>
    </row>
    <row r="226" spans="1:2" x14ac:dyDescent="0.25">
      <c r="A226" s="2">
        <f>A213+10</f>
        <v>147</v>
      </c>
      <c r="B226" s="24" t="str">
        <f ca="1">"#define MPU_S_CONFIG_REG"&amp;A225&amp;" "&amp;N(INDIRECT("CONFIG!A"&amp;A226))</f>
        <v>#define MPU_S_CONFIG_REG14 0</v>
      </c>
    </row>
    <row r="227" spans="1:2" x14ac:dyDescent="0.25">
      <c r="A227">
        <f>A226+1</f>
        <v>148</v>
      </c>
      <c r="B227" s="18" t="str">
        <f ca="1">"#define MPU_S_ENABLE_REG"&amp;A225&amp;" "&amp;N(INDIRECT("CONFIG!A"&amp;A227))</f>
        <v>#define MPU_S_ENABLE_REG14 1</v>
      </c>
    </row>
    <row r="228" spans="1:2" x14ac:dyDescent="0.25">
      <c r="A228">
        <f>A226+2</f>
        <v>149</v>
      </c>
      <c r="B228" s="18" t="str" cm="1">
        <f t="array" aca="1" ref="B228" ca="1">"#define MPU_S_BASE_REG"&amp;A225&amp;"   0x"&amp;INDIRECT("CONFIG!A"&amp;A228)</f>
        <v>#define MPU_S_BASE_REG14   0x00000000</v>
      </c>
    </row>
    <row r="229" spans="1:2" x14ac:dyDescent="0.25">
      <c r="A229">
        <f>A226+3</f>
        <v>150</v>
      </c>
      <c r="B229" s="18" t="str">
        <f ca="1">"#define MPU_S_END_REG"&amp;A225&amp;"    0x"&amp;DEC2HEX(HEX2DEC(INDIRECT("CONFIG!A"&amp;A229))+1,8)</f>
        <v>#define MPU_S_END_REG14    0x00000020</v>
      </c>
    </row>
    <row r="230" spans="1:2" x14ac:dyDescent="0.25">
      <c r="B230" s="18" t="str">
        <f>"#define MPU_S_LIMIT_REG"&amp;A225&amp;"  (MPU_S_END_REG"&amp;A225&amp;"-1)"</f>
        <v>#define MPU_S_LIMIT_REG14  (MPU_S_END_REG14-1)</v>
      </c>
    </row>
    <row r="231" spans="1:2" x14ac:dyDescent="0.25">
      <c r="B231" s="18" t="s">
        <v>214</v>
      </c>
    </row>
    <row r="232" spans="1:2" x14ac:dyDescent="0.25">
      <c r="A232">
        <f>A226+4</f>
        <v>151</v>
      </c>
      <c r="B232" s="18" t="str" cm="1">
        <f t="array" aca="1" ref="B232" ca="1">"#define MPU_S_PERM_REG"&amp;A225&amp;"   "&amp;INDIRECT("CONFIG!A"&amp;A232)-1</f>
        <v>#define MPU_S_PERM_REG14   0</v>
      </c>
    </row>
    <row r="233" spans="1:2" x14ac:dyDescent="0.25">
      <c r="A233">
        <f>A226+5</f>
        <v>152</v>
      </c>
      <c r="B233" s="18" t="str">
        <f ca="1">"#define MPU_S_XN_REG"&amp;A225&amp;"     "&amp;N(INDIRECT("CONFIG!A"&amp;A233))</f>
        <v>#define MPU_S_XN_REG14     0</v>
      </c>
    </row>
    <row r="234" spans="1:2" x14ac:dyDescent="0.25">
      <c r="A234">
        <f>A226+6</f>
        <v>153</v>
      </c>
      <c r="B234" s="18" t="str">
        <f ca="1">"#define MPU_S_PXN_REG"&amp;A225&amp;"    "&amp;N(INDIRECT("CONFIG!A"&amp;A234))</f>
        <v>#define MPU_S_PXN_REG14    0</v>
      </c>
    </row>
    <row r="235" spans="1:2" x14ac:dyDescent="0.25">
      <c r="A235">
        <f>A226+7</f>
        <v>154</v>
      </c>
      <c r="B235" s="18" t="str" cm="1">
        <f t="array" aca="1" ref="B235" ca="1">"#define MPU_S_SHARE_REG"&amp;A225&amp;"  "&amp;(INDIRECT("CONFIG!A"&amp;A235)-1)</f>
        <v>#define MPU_S_SHARE_REG14  0</v>
      </c>
    </row>
    <row r="236" spans="1:2" x14ac:dyDescent="0.25">
      <c r="A236">
        <f>A226+8</f>
        <v>155</v>
      </c>
      <c r="B236" s="18" t="str" cm="1">
        <f t="array" aca="1" ref="B236" ca="1">"#define MPU_S_ATTRIND"&amp;A225&amp;"    "&amp;INDIRECT("CONFIG!A"&amp;A236)-1</f>
        <v>#define MPU_S_ATTRIND14    1</v>
      </c>
    </row>
    <row r="237" spans="1:2" x14ac:dyDescent="0.25">
      <c r="B237" s="18" t="s">
        <v>138</v>
      </c>
    </row>
    <row r="238" spans="1:2" x14ac:dyDescent="0.25">
      <c r="A238" s="2">
        <f>A225+1</f>
        <v>15</v>
      </c>
      <c r="B238" s="18" t="str">
        <f>"// MPU_S Region "&amp;A238&amp;" ********************************"</f>
        <v>// MPU_S Region 15 ********************************</v>
      </c>
    </row>
    <row r="239" spans="1:2" x14ac:dyDescent="0.25">
      <c r="A239" s="2">
        <f>A226+10</f>
        <v>157</v>
      </c>
      <c r="B239" s="24" t="str">
        <f ca="1">"#define MPU_S_CONFIG_REG"&amp;A238&amp;" "&amp;N(INDIRECT("CONFIG!A"&amp;A239))</f>
        <v>#define MPU_S_CONFIG_REG15 0</v>
      </c>
    </row>
    <row r="240" spans="1:2" x14ac:dyDescent="0.25">
      <c r="A240">
        <f>A239+1</f>
        <v>158</v>
      </c>
      <c r="B240" s="18" t="str">
        <f ca="1">"#define MPU_S_ENABLE_REG"&amp;A238&amp;" "&amp;N(INDIRECT("CONFIG!A"&amp;A240))</f>
        <v>#define MPU_S_ENABLE_REG15 1</v>
      </c>
    </row>
    <row r="241" spans="1:2" x14ac:dyDescent="0.25">
      <c r="A241">
        <f>A239+2</f>
        <v>159</v>
      </c>
      <c r="B241" s="18" t="str" cm="1">
        <f t="array" aca="1" ref="B241" ca="1">"#define MPU_S_BASE_REG"&amp;A238&amp;"   0x"&amp;INDIRECT("CONFIG!A"&amp;A241)</f>
        <v>#define MPU_S_BASE_REG15   0x00000000</v>
      </c>
    </row>
    <row r="242" spans="1:2" x14ac:dyDescent="0.25">
      <c r="A242">
        <f>A239+3</f>
        <v>160</v>
      </c>
      <c r="B242" s="18" t="str">
        <f ca="1">"#define MPU_S_END_REG"&amp;A238&amp;"    0x"&amp;DEC2HEX(HEX2DEC(INDIRECT("CONFIG!A"&amp;A242))+1,8)</f>
        <v>#define MPU_S_END_REG15    0x00000020</v>
      </c>
    </row>
    <row r="243" spans="1:2" x14ac:dyDescent="0.25">
      <c r="B243" s="18" t="str">
        <f>"#define MPU_S_LIMIT_REG"&amp;A238&amp;"  (MPU_S_END_REG"&amp;A238&amp;"-1)"</f>
        <v>#define MPU_S_LIMIT_REG15  (MPU_S_END_REG15-1)</v>
      </c>
    </row>
    <row r="244" spans="1:2" x14ac:dyDescent="0.25">
      <c r="B244" s="18" t="s">
        <v>214</v>
      </c>
    </row>
    <row r="245" spans="1:2" x14ac:dyDescent="0.25">
      <c r="A245">
        <f>A239+4</f>
        <v>161</v>
      </c>
      <c r="B245" s="18" t="str" cm="1">
        <f t="array" aca="1" ref="B245" ca="1">"#define MPU_S_PERM_REG"&amp;A238&amp;"   "&amp;INDIRECT("CONFIG!A"&amp;A245)-1</f>
        <v>#define MPU_S_PERM_REG15   0</v>
      </c>
    </row>
    <row r="246" spans="1:2" x14ac:dyDescent="0.25">
      <c r="A246">
        <f>A239+5</f>
        <v>162</v>
      </c>
      <c r="B246" s="18" t="str">
        <f ca="1">"#define MPU_S_XN_REG"&amp;A238&amp;"     "&amp;N(INDIRECT("CONFIG!A"&amp;A246))</f>
        <v>#define MPU_S_XN_REG15     0</v>
      </c>
    </row>
    <row r="247" spans="1:2" x14ac:dyDescent="0.25">
      <c r="A247">
        <f>A239+6</f>
        <v>163</v>
      </c>
      <c r="B247" s="18" t="str">
        <f ca="1">"#define MPU_S_PXN_REG"&amp;A238&amp;"    "&amp;N(INDIRECT("CONFIG!A"&amp;A247))</f>
        <v>#define MPU_S_PXN_REG15    0</v>
      </c>
    </row>
    <row r="248" spans="1:2" x14ac:dyDescent="0.25">
      <c r="A248">
        <f>A239+7</f>
        <v>164</v>
      </c>
      <c r="B248" s="18" t="str" cm="1">
        <f t="array" aca="1" ref="B248" ca="1">"#define MPU_S_SHARE_REG"&amp;A238&amp;"  "&amp;(INDIRECT("CONFIG!A"&amp;A248)-1)</f>
        <v>#define MPU_S_SHARE_REG15  0</v>
      </c>
    </row>
    <row r="249" spans="1:2" x14ac:dyDescent="0.25">
      <c r="A249">
        <f>A239+8</f>
        <v>165</v>
      </c>
      <c r="B249" s="18" t="str" cm="1">
        <f t="array" aca="1" ref="B249" ca="1">"#define MPU_S_ATTRIND"&amp;A238&amp;"    "&amp;INDIRECT("CONFIG!A"&amp;A249)-1</f>
        <v>#define MPU_S_ATTRIND15    1</v>
      </c>
    </row>
    <row r="250" spans="1:2" x14ac:dyDescent="0.25">
      <c r="B250" s="18" t="s">
        <v>138</v>
      </c>
    </row>
    <row r="251" spans="1:2" x14ac:dyDescent="0.25">
      <c r="B251" s="18" t="s">
        <v>215</v>
      </c>
    </row>
    <row r="252" spans="1:2" x14ac:dyDescent="0.25">
      <c r="A252" s="23">
        <v>0</v>
      </c>
      <c r="B252" s="18" t="str">
        <f>"// MPU_S IDX "&amp;A252&amp;" ********************************"</f>
        <v>// MPU_S IDX 0 ********************************</v>
      </c>
    </row>
    <row r="253" spans="1:2" x14ac:dyDescent="0.25">
      <c r="A253" s="23">
        <v>168</v>
      </c>
      <c r="B253" s="18" t="str">
        <f ca="1">"#define MPU_S_INIT_IDX"&amp;A252&amp;"   "&amp;N(INDIRECT("CONFIG!A"&amp;A253))</f>
        <v>#define MPU_S_INIT_IDX0   1</v>
      </c>
    </row>
    <row r="254" spans="1:2" x14ac:dyDescent="0.25">
      <c r="A254">
        <f>A253+2</f>
        <v>170</v>
      </c>
      <c r="B254" s="18" t="str" cm="1">
        <f t="array" aca="1" ref="B254" ca="1">"#define MPU_S_TYPE_IDX"&amp;A252&amp;"   "&amp;"0x"&amp;DEC2HEX(HEX2DEC(INDIRECT("CONFIG!A"&amp;INDIRECT("CONFIG!A"&amp;(A254))+264)),2)</f>
        <v>#define MPU_S_TYPE_IDX0   0xAA</v>
      </c>
    </row>
    <row r="255" spans="1:2" x14ac:dyDescent="0.25">
      <c r="A255">
        <f>A254+1</f>
        <v>171</v>
      </c>
      <c r="B255" s="18" t="str" cm="1">
        <f t="array" aca="1" ref="B255" ca="1">"#define MPU_S_OC_POL_IDX"&amp;A252&amp;" 0x"&amp;DEC2HEX(16*HEX2DEC(INDIRECT("CONFIG!A"&amp;INDIRECT("CONFIG!A"&amp;(A255))+273)),2)</f>
        <v>#define MPU_S_OC_POL_IDX0 0x10</v>
      </c>
    </row>
    <row r="256" spans="1:2" x14ac:dyDescent="0.25">
      <c r="A256">
        <f>A255+3</f>
        <v>174</v>
      </c>
      <c r="B256" s="18" t="str" cm="1">
        <f t="array" aca="1" ref="B256" ca="1">"#define MPU_S_IC_POL_IDX"&amp;A252&amp;" 0x"&amp;DEC2HEX(HEX2DEC(INDIRECT("CONFIG!A"&amp;INDIRECT("CONFIG!A"&amp;(A256))+273)),2)</f>
        <v>#define MPU_S_IC_POL_IDX0 0x01</v>
      </c>
    </row>
    <row r="257" spans="1:2" x14ac:dyDescent="0.25">
      <c r="A257">
        <f>A255+1</f>
        <v>172</v>
      </c>
      <c r="B257" s="18" t="str" cm="1">
        <f t="array" aca="1" ref="B257" ca="1">"#define MPU_S_OC_RW_IDX"&amp;A252&amp;"  0x"&amp;DEC2HEX((32*INDIRECT("CONFIG!A"&amp;(A257))+(16*INDIRECT("CONFIG!A"&amp;(A257+1)))),2)</f>
        <v>#define MPU_S_OC_RW_IDX0  0x00</v>
      </c>
    </row>
    <row r="258" spans="1:2" x14ac:dyDescent="0.25">
      <c r="A258">
        <f>A256+1</f>
        <v>175</v>
      </c>
      <c r="B258" s="18" t="str" cm="1">
        <f t="array" aca="1" ref="B258" ca="1">"#define MPU_S_IC_RW_IDX"&amp;A252&amp;"  0x"&amp;DEC2HEX((2*INDIRECT("CONFIG!A"&amp;(A258))+(1*INDIRECT("CONFIG!A"&amp;(A258+1)))),2)</f>
        <v>#define MPU_S_IC_RW_IDX0  0x00</v>
      </c>
    </row>
    <row r="259" spans="1:2" x14ac:dyDescent="0.25">
      <c r="B259" s="18" t="str">
        <f>"#if (MPU_S_OC_POL_IDX"&amp;A252&amp;" == 0x10)"</f>
        <v>#if (MPU_S_OC_POL_IDX0 == 0x10)</v>
      </c>
    </row>
    <row r="260" spans="1:2" x14ac:dyDescent="0.25">
      <c r="B260" s="18" t="str">
        <f>"#define MPU_S_OUTERCACHE_IDX"&amp;A252&amp;"  0x40"</f>
        <v>#define MPU_S_OUTERCACHE_IDX0  0x40</v>
      </c>
    </row>
    <row r="261" spans="1:2" x14ac:dyDescent="0.25">
      <c r="B261" s="18" t="s">
        <v>24</v>
      </c>
    </row>
    <row r="262" spans="1:2" x14ac:dyDescent="0.25">
      <c r="B262" s="18" t="str">
        <f>"#define MPU_S_OUTERCACHE_IDX"&amp;A252&amp;"  (MPU_S_OC_POL_IDX"&amp;A252&amp;" | MPU_S_OC_RW_IDX"&amp;A252&amp;")"</f>
        <v>#define MPU_S_OUTERCACHE_IDX0  (MPU_S_OC_POL_IDX0 | MPU_S_OC_RW_IDX0)</v>
      </c>
    </row>
    <row r="263" spans="1:2" x14ac:dyDescent="0.25">
      <c r="B263" s="18" t="s">
        <v>25</v>
      </c>
    </row>
    <row r="264" spans="1:2" x14ac:dyDescent="0.25">
      <c r="B264" s="18" t="str">
        <f>"#if (MPU_S_IC_POL_IDX"&amp;A252&amp;" == 0x01)"</f>
        <v>#if (MPU_S_IC_POL_IDX0 == 0x01)</v>
      </c>
    </row>
    <row r="265" spans="1:2" x14ac:dyDescent="0.25">
      <c r="B265" s="18" t="str">
        <f>"#define MPU_S_INNERCACHE_IDX"&amp;A252&amp;"  0x04"</f>
        <v>#define MPU_S_INNERCACHE_IDX0  0x04</v>
      </c>
    </row>
    <row r="266" spans="1:2" x14ac:dyDescent="0.25">
      <c r="B266" s="18" t="s">
        <v>24</v>
      </c>
    </row>
    <row r="267" spans="1:2" x14ac:dyDescent="0.25">
      <c r="B267" s="18" t="str">
        <f>"#define MPU_S_INNERCACHE_IDX"&amp;A252&amp;"  (MPU_S_IC_POL_IDX"&amp;A252&amp;" | MPU_S_IC_RW_IDX"&amp;A252&amp;")"</f>
        <v>#define MPU_S_INNERCACHE_IDX0  (MPU_S_IC_POL_IDX0 | MPU_S_IC_RW_IDX0)</v>
      </c>
    </row>
    <row r="268" spans="1:2" x14ac:dyDescent="0.25">
      <c r="B268" s="18" t="s">
        <v>25</v>
      </c>
    </row>
    <row r="269" spans="1:2" x14ac:dyDescent="0.25">
      <c r="B269" s="18" t="str">
        <f>"#if (MPU_S_TYPE_IDX"&amp;A252&amp;" == 0x01)"</f>
        <v>#if (MPU_S_TYPE_IDX0 == 0x01)</v>
      </c>
    </row>
    <row r="270" spans="1:2" x14ac:dyDescent="0.25">
      <c r="B270" s="18" t="str">
        <f>"#define MPU_S_VAL_IDX"&amp;A252&amp;"         (MPU_S_OUTERCACHE_IDX"&amp;A252&amp;" | MPU_S_INNERCACHE_IDX"&amp;A252&amp;")"</f>
        <v>#define MPU_S_VAL_IDX0         (MPU_S_OUTERCACHE_IDX0 | MPU_S_INNERCACHE_IDX0)</v>
      </c>
    </row>
    <row r="271" spans="1:2" x14ac:dyDescent="0.25">
      <c r="B271" s="18" t="s">
        <v>24</v>
      </c>
    </row>
    <row r="272" spans="1:2" x14ac:dyDescent="0.25">
      <c r="B272" s="18" t="str">
        <f>"#define MPU_S_VAL_IDX"&amp;A252&amp;"         (MPU_S_TYPE_IDX"&amp;A252&amp;")"</f>
        <v>#define MPU_S_VAL_IDX0         (MPU_S_TYPE_IDX0)</v>
      </c>
    </row>
    <row r="273" spans="1:2" x14ac:dyDescent="0.25">
      <c r="B273" s="18" t="s">
        <v>25</v>
      </c>
    </row>
    <row r="274" spans="1:2" x14ac:dyDescent="0.25">
      <c r="B274" s="18" t="s">
        <v>138</v>
      </c>
    </row>
    <row r="275" spans="1:2" x14ac:dyDescent="0.25">
      <c r="A275" s="23">
        <f>A252+1</f>
        <v>1</v>
      </c>
      <c r="B275" s="18" t="str">
        <f>"// MPU_S IDX "&amp;A275&amp;" ********************************"</f>
        <v>// MPU_S IDX 1 ********************************</v>
      </c>
    </row>
    <row r="276" spans="1:2" x14ac:dyDescent="0.25">
      <c r="A276" s="23">
        <f>A253+10</f>
        <v>178</v>
      </c>
      <c r="B276" s="18" t="str">
        <f ca="1">"#define MPU_S_INIT_IDX"&amp;A275&amp;"   "&amp;N(INDIRECT("CONFIG!A"&amp;A276))</f>
        <v>#define MPU_S_INIT_IDX1   1</v>
      </c>
    </row>
    <row r="277" spans="1:2" x14ac:dyDescent="0.25">
      <c r="A277">
        <f>A276+2</f>
        <v>180</v>
      </c>
      <c r="B277" s="18" t="str" cm="1">
        <f t="array" aca="1" ref="B277" ca="1">"#define MPU_S_TYPE_IDX"&amp;A275&amp;"   "&amp;"0x"&amp;DEC2HEX(HEX2DEC(INDIRECT("CONFIG!A"&amp;INDIRECT("CONFIG!A"&amp;(A277))+264)),2)</f>
        <v>#define MPU_S_TYPE_IDX1   0xAA</v>
      </c>
    </row>
    <row r="278" spans="1:2" x14ac:dyDescent="0.25">
      <c r="A278">
        <f>A277+1</f>
        <v>181</v>
      </c>
      <c r="B278" s="18" t="str" cm="1">
        <f t="array" aca="1" ref="B278" ca="1">"#define MPU_S_OC_POL_IDX"&amp;A275&amp;" 0x"&amp;DEC2HEX(16*HEX2DEC(INDIRECT("CONFIG!A"&amp;INDIRECT("CONFIG!A"&amp;(A278))+273)),2)</f>
        <v>#define MPU_S_OC_POL_IDX1 0x10</v>
      </c>
    </row>
    <row r="279" spans="1:2" x14ac:dyDescent="0.25">
      <c r="A279">
        <f>A278+3</f>
        <v>184</v>
      </c>
      <c r="B279" s="18" t="str" cm="1">
        <f t="array" aca="1" ref="B279" ca="1">"#define MPU_S_IC_POL_IDX"&amp;A275&amp;" 0x"&amp;DEC2HEX(HEX2DEC(INDIRECT("CONFIG!A"&amp;INDIRECT("CONFIG!A"&amp;(A279))+273)),2)</f>
        <v>#define MPU_S_IC_POL_IDX1 0x01</v>
      </c>
    </row>
    <row r="280" spans="1:2" x14ac:dyDescent="0.25">
      <c r="A280">
        <f>A278+1</f>
        <v>182</v>
      </c>
      <c r="B280" s="18" t="str" cm="1">
        <f t="array" aca="1" ref="B280" ca="1">"#define MPU_S_OC_RW_IDX"&amp;A275&amp;"  0x"&amp;DEC2HEX((32*INDIRECT("CONFIG!A"&amp;(A280))+(16*INDIRECT("CONFIG!A"&amp;(A280+1)))),2)</f>
        <v>#define MPU_S_OC_RW_IDX1  0x00</v>
      </c>
    </row>
    <row r="281" spans="1:2" x14ac:dyDescent="0.25">
      <c r="A281">
        <f>A279+1</f>
        <v>185</v>
      </c>
      <c r="B281" s="18" t="str" cm="1">
        <f t="array" aca="1" ref="B281" ca="1">"#define MPU_S_IC_RW_IDX"&amp;A275&amp;"  0x"&amp;DEC2HEX((2*INDIRECT("CONFIG!A"&amp;(A281))+(1*INDIRECT("CONFIG!A"&amp;(A281+1)))),2)</f>
        <v>#define MPU_S_IC_RW_IDX1  0x00</v>
      </c>
    </row>
    <row r="282" spans="1:2" x14ac:dyDescent="0.25">
      <c r="B282" s="18" t="str">
        <f>"#if (MPU_S_OC_POL_IDX"&amp;A275&amp;" == 0x10)"</f>
        <v>#if (MPU_S_OC_POL_IDX1 == 0x10)</v>
      </c>
    </row>
    <row r="283" spans="1:2" x14ac:dyDescent="0.25">
      <c r="B283" s="18" t="str">
        <f>"#define MPU_S_OUTERCACHE_IDX"&amp;A275&amp;"  0x40"</f>
        <v>#define MPU_S_OUTERCACHE_IDX1  0x40</v>
      </c>
    </row>
    <row r="284" spans="1:2" x14ac:dyDescent="0.25">
      <c r="B284" s="18" t="s">
        <v>24</v>
      </c>
    </row>
    <row r="285" spans="1:2" x14ac:dyDescent="0.25">
      <c r="B285" s="18" t="str">
        <f>"#define MPU_S_OUTERCACHE_IDX"&amp;A275&amp;"  (MPU_S_OC_POL_IDX"&amp;A275&amp;" | MPU_S_OC_RW_IDX"&amp;A275&amp;")"</f>
        <v>#define MPU_S_OUTERCACHE_IDX1  (MPU_S_OC_POL_IDX1 | MPU_S_OC_RW_IDX1)</v>
      </c>
    </row>
    <row r="286" spans="1:2" x14ac:dyDescent="0.25">
      <c r="B286" s="18" t="s">
        <v>25</v>
      </c>
    </row>
    <row r="287" spans="1:2" x14ac:dyDescent="0.25">
      <c r="B287" s="18" t="str">
        <f>"#if (MPU_S_IC_POL_IDX"&amp;A275&amp;" == 0x01)"</f>
        <v>#if (MPU_S_IC_POL_IDX1 == 0x01)</v>
      </c>
    </row>
    <row r="288" spans="1:2" x14ac:dyDescent="0.25">
      <c r="B288" s="18" t="str">
        <f>"#define MPU_S_INNERCACHE_IDX"&amp;A275&amp;"  0x04"</f>
        <v>#define MPU_S_INNERCACHE_IDX1  0x04</v>
      </c>
    </row>
    <row r="289" spans="1:2" x14ac:dyDescent="0.25">
      <c r="B289" s="18" t="s">
        <v>24</v>
      </c>
    </row>
    <row r="290" spans="1:2" x14ac:dyDescent="0.25">
      <c r="B290" s="18" t="str">
        <f>"#define MPU_S_INNERCACHE_IDX"&amp;A275&amp;"  (MPU_S_IC_POL_IDX"&amp;A275&amp;" | MPU_S_IC_RW_IDX"&amp;A275&amp;")"</f>
        <v>#define MPU_S_INNERCACHE_IDX1  (MPU_S_IC_POL_IDX1 | MPU_S_IC_RW_IDX1)</v>
      </c>
    </row>
    <row r="291" spans="1:2" x14ac:dyDescent="0.25">
      <c r="B291" s="18" t="s">
        <v>25</v>
      </c>
    </row>
    <row r="292" spans="1:2" x14ac:dyDescent="0.25">
      <c r="B292" s="18" t="str">
        <f>"#if (MPU_S_TYPE_IDX"&amp;A275&amp;" == 0x01)"</f>
        <v>#if (MPU_S_TYPE_IDX1 == 0x01)</v>
      </c>
    </row>
    <row r="293" spans="1:2" x14ac:dyDescent="0.25">
      <c r="B293" s="18" t="str">
        <f>"#define MPU_S_VAL_IDX"&amp;A275&amp;"         (MPU_S_OUTERCACHE_IDX"&amp;A275&amp;" | MPU_S_INNERCACHE_IDX"&amp;A275&amp;")"</f>
        <v>#define MPU_S_VAL_IDX1         (MPU_S_OUTERCACHE_IDX1 | MPU_S_INNERCACHE_IDX1)</v>
      </c>
    </row>
    <row r="294" spans="1:2" x14ac:dyDescent="0.25">
      <c r="B294" s="18" t="s">
        <v>24</v>
      </c>
    </row>
    <row r="295" spans="1:2" x14ac:dyDescent="0.25">
      <c r="B295" s="18" t="str">
        <f>"#define MPU_S_VAL_IDX"&amp;A275&amp;"         (MPU_S_TYPE_IDX"&amp;A275&amp;")"</f>
        <v>#define MPU_S_VAL_IDX1         (MPU_S_TYPE_IDX1)</v>
      </c>
    </row>
    <row r="296" spans="1:2" x14ac:dyDescent="0.25">
      <c r="B296" s="18" t="s">
        <v>25</v>
      </c>
    </row>
    <row r="297" spans="1:2" x14ac:dyDescent="0.25">
      <c r="B297" s="18" t="s">
        <v>138</v>
      </c>
    </row>
    <row r="298" spans="1:2" x14ac:dyDescent="0.25">
      <c r="A298" s="23">
        <f>A275+1</f>
        <v>2</v>
      </c>
      <c r="B298" s="18" t="str">
        <f>"// MPU_S IDX "&amp;A298&amp;" ********************************"</f>
        <v>// MPU_S IDX 2 ********************************</v>
      </c>
    </row>
    <row r="299" spans="1:2" x14ac:dyDescent="0.25">
      <c r="A299" s="23">
        <f>A276+10</f>
        <v>188</v>
      </c>
      <c r="B299" s="18" t="str">
        <f ca="1">"#define MPU_S_INIT_IDX"&amp;A298&amp;"   "&amp;N(INDIRECT("CONFIG!A"&amp;A299))</f>
        <v>#define MPU_S_INIT_IDX2   1</v>
      </c>
    </row>
    <row r="300" spans="1:2" x14ac:dyDescent="0.25">
      <c r="A300">
        <f>A299+2</f>
        <v>190</v>
      </c>
      <c r="B300" s="18" t="str" cm="1">
        <f t="array" aca="1" ref="B300" ca="1">"#define MPU_S_TYPE_IDX"&amp;A298&amp;"   "&amp;"0x"&amp;DEC2HEX(HEX2DEC(INDIRECT("CONFIG!A"&amp;INDIRECT("CONFIG!A"&amp;(A300))+264)),2)</f>
        <v>#define MPU_S_TYPE_IDX2   0x00</v>
      </c>
    </row>
    <row r="301" spans="1:2" x14ac:dyDescent="0.25">
      <c r="A301">
        <f>A300+1</f>
        <v>191</v>
      </c>
      <c r="B301" s="18" t="str" cm="1">
        <f t="array" aca="1" ref="B301" ca="1">"#define MPU_S_OC_POL_IDX"&amp;A298&amp;" 0x"&amp;DEC2HEX(16*HEX2DEC(INDIRECT("CONFIG!A"&amp;INDIRECT("CONFIG!A"&amp;(A301))+273)),2)</f>
        <v>#define MPU_S_OC_POL_IDX2 0x10</v>
      </c>
    </row>
    <row r="302" spans="1:2" x14ac:dyDescent="0.25">
      <c r="A302">
        <f>A301+3</f>
        <v>194</v>
      </c>
      <c r="B302" s="18" t="str" cm="1">
        <f t="array" aca="1" ref="B302" ca="1">"#define MPU_S_IC_POL_IDX"&amp;A298&amp;" 0x"&amp;DEC2HEX(HEX2DEC(INDIRECT("CONFIG!A"&amp;INDIRECT("CONFIG!A"&amp;(A302))+273)),2)</f>
        <v>#define MPU_S_IC_POL_IDX2 0x01</v>
      </c>
    </row>
    <row r="303" spans="1:2" x14ac:dyDescent="0.25">
      <c r="A303">
        <f>A301+1</f>
        <v>192</v>
      </c>
      <c r="B303" s="18" t="str" cm="1">
        <f t="array" aca="1" ref="B303" ca="1">"#define MPU_S_OC_RW_IDX"&amp;A298&amp;"  0x"&amp;DEC2HEX((32*INDIRECT("CONFIG!A"&amp;(A303))+(16*INDIRECT("CONFIG!A"&amp;(A303+1)))),2)</f>
        <v>#define MPU_S_OC_RW_IDX2  0x00</v>
      </c>
    </row>
    <row r="304" spans="1:2" x14ac:dyDescent="0.25">
      <c r="A304">
        <f>A302+1</f>
        <v>195</v>
      </c>
      <c r="B304" s="18" t="str" cm="1">
        <f t="array" aca="1" ref="B304" ca="1">"#define MPU_S_IC_RW_IDX"&amp;A298&amp;"  0x"&amp;DEC2HEX((2*INDIRECT("CONFIG!A"&amp;(A304))+(1*INDIRECT("CONFIG!A"&amp;(A304+1)))),2)</f>
        <v>#define MPU_S_IC_RW_IDX2  0x00</v>
      </c>
    </row>
    <row r="305" spans="2:2" x14ac:dyDescent="0.25">
      <c r="B305" s="18" t="str">
        <f>"#if (MPU_S_OC_POL_IDX"&amp;A298&amp;" == 0x10)"</f>
        <v>#if (MPU_S_OC_POL_IDX2 == 0x10)</v>
      </c>
    </row>
    <row r="306" spans="2:2" x14ac:dyDescent="0.25">
      <c r="B306" s="18" t="str">
        <f>"#define MPU_S_OUTERCACHE_IDX"&amp;A298&amp;"  0x40"</f>
        <v>#define MPU_S_OUTERCACHE_IDX2  0x40</v>
      </c>
    </row>
    <row r="307" spans="2:2" x14ac:dyDescent="0.25">
      <c r="B307" s="18" t="s">
        <v>24</v>
      </c>
    </row>
    <row r="308" spans="2:2" x14ac:dyDescent="0.25">
      <c r="B308" s="18" t="str">
        <f>"#define MPU_S_OUTERCACHE_IDX"&amp;A298&amp;"  (MPU_S_OC_POL_IDX"&amp;A298&amp;" | MPU_S_OC_RW_IDX"&amp;A298&amp;")"</f>
        <v>#define MPU_S_OUTERCACHE_IDX2  (MPU_S_OC_POL_IDX2 | MPU_S_OC_RW_IDX2)</v>
      </c>
    </row>
    <row r="309" spans="2:2" x14ac:dyDescent="0.25">
      <c r="B309" s="18" t="s">
        <v>25</v>
      </c>
    </row>
    <row r="310" spans="2:2" x14ac:dyDescent="0.25">
      <c r="B310" s="18" t="str">
        <f>"#if (MPU_S_IC_POL_IDX"&amp;A298&amp;" == 0x01)"</f>
        <v>#if (MPU_S_IC_POL_IDX2 == 0x01)</v>
      </c>
    </row>
    <row r="311" spans="2:2" x14ac:dyDescent="0.25">
      <c r="B311" s="18" t="str">
        <f>"#define MPU_S_INNERCACHE_IDX"&amp;A298&amp;"  0x04"</f>
        <v>#define MPU_S_INNERCACHE_IDX2  0x04</v>
      </c>
    </row>
    <row r="312" spans="2:2" x14ac:dyDescent="0.25">
      <c r="B312" s="18" t="s">
        <v>24</v>
      </c>
    </row>
    <row r="313" spans="2:2" x14ac:dyDescent="0.25">
      <c r="B313" s="18" t="str">
        <f>"#define MPU_S_INNERCACHE_IDX"&amp;A298&amp;"  (MPU_S_IC_POL_IDX"&amp;A298&amp;" | MPU_S_IC_RW_IDX"&amp;A298&amp;")"</f>
        <v>#define MPU_S_INNERCACHE_IDX2  (MPU_S_IC_POL_IDX2 | MPU_S_IC_RW_IDX2)</v>
      </c>
    </row>
    <row r="314" spans="2:2" x14ac:dyDescent="0.25">
      <c r="B314" s="18" t="s">
        <v>25</v>
      </c>
    </row>
    <row r="315" spans="2:2" x14ac:dyDescent="0.25">
      <c r="B315" s="18" t="str">
        <f>"#if (MPU_S_TYPE_IDX"&amp;A298&amp;" == 0x01)"</f>
        <v>#if (MPU_S_TYPE_IDX2 == 0x01)</v>
      </c>
    </row>
    <row r="316" spans="2:2" x14ac:dyDescent="0.25">
      <c r="B316" s="18" t="str">
        <f>"#define MPU_S_VAL_IDX"&amp;A298&amp;"         (MPU_S_OUTERCACHE_IDX"&amp;A298&amp;" | MPU_S_INNERCACHE_IDX"&amp;A298&amp;")"</f>
        <v>#define MPU_S_VAL_IDX2         (MPU_S_OUTERCACHE_IDX2 | MPU_S_INNERCACHE_IDX2)</v>
      </c>
    </row>
    <row r="317" spans="2:2" x14ac:dyDescent="0.25">
      <c r="B317" s="18" t="s">
        <v>24</v>
      </c>
    </row>
    <row r="318" spans="2:2" x14ac:dyDescent="0.25">
      <c r="B318" s="18" t="str">
        <f>"#define MPU_S_VAL_IDX"&amp;A298&amp;"         (MPU_S_TYPE_IDX"&amp;A298&amp;")"</f>
        <v>#define MPU_S_VAL_IDX2         (MPU_S_TYPE_IDX2)</v>
      </c>
    </row>
    <row r="319" spans="2:2" x14ac:dyDescent="0.25">
      <c r="B319" s="18" t="s">
        <v>25</v>
      </c>
    </row>
    <row r="320" spans="2:2" x14ac:dyDescent="0.25">
      <c r="B320" s="18" t="s">
        <v>138</v>
      </c>
    </row>
    <row r="321" spans="1:2" x14ac:dyDescent="0.25">
      <c r="A321" s="23">
        <f>A298+1</f>
        <v>3</v>
      </c>
      <c r="B321" s="18" t="str">
        <f>"// MPU_S IDX "&amp;A321&amp;" ********************************"</f>
        <v>// MPU_S IDX 3 ********************************</v>
      </c>
    </row>
    <row r="322" spans="1:2" x14ac:dyDescent="0.25">
      <c r="A322" s="23">
        <f>A299+10</f>
        <v>198</v>
      </c>
      <c r="B322" s="18" t="str">
        <f ca="1">"#define MPU_S_INIT_IDX"&amp;A321&amp;"   "&amp;N(INDIRECT("CONFIG!A"&amp;A322))</f>
        <v>#define MPU_S_INIT_IDX3   0</v>
      </c>
    </row>
    <row r="323" spans="1:2" x14ac:dyDescent="0.25">
      <c r="A323">
        <f>A322+2</f>
        <v>200</v>
      </c>
      <c r="B323" s="18" t="str" cm="1">
        <f t="array" aca="1" ref="B323" ca="1">"#define MPU_S_TYPE_IDX"&amp;A321&amp;"   "&amp;"0x"&amp;DEC2HEX(HEX2DEC(INDIRECT("CONFIG!A"&amp;INDIRECT("CONFIG!A"&amp;(A323))+264)),2)</f>
        <v>#define MPU_S_TYPE_IDX3   0x01</v>
      </c>
    </row>
    <row r="324" spans="1:2" x14ac:dyDescent="0.25">
      <c r="A324">
        <f>A323+1</f>
        <v>201</v>
      </c>
      <c r="B324" s="18" t="str" cm="1">
        <f t="array" aca="1" ref="B324" ca="1">"#define MPU_S_OC_POL_IDX"&amp;A321&amp;" 0x"&amp;DEC2HEX(16*HEX2DEC(INDIRECT("CONFIG!A"&amp;INDIRECT("CONFIG!A"&amp;(A324))+273)),2)</f>
        <v>#define MPU_S_OC_POL_IDX3 0x10</v>
      </c>
    </row>
    <row r="325" spans="1:2" x14ac:dyDescent="0.25">
      <c r="A325">
        <f>A324+3</f>
        <v>204</v>
      </c>
      <c r="B325" s="18" t="str" cm="1">
        <f t="array" aca="1" ref="B325" ca="1">"#define MPU_S_IC_POL_IDX"&amp;A321&amp;" 0x"&amp;DEC2HEX(HEX2DEC(INDIRECT("CONFIG!A"&amp;INDIRECT("CONFIG!A"&amp;(A325))+273)),2)</f>
        <v>#define MPU_S_IC_POL_IDX3 0x01</v>
      </c>
    </row>
    <row r="326" spans="1:2" x14ac:dyDescent="0.25">
      <c r="A326">
        <f>A324+1</f>
        <v>202</v>
      </c>
      <c r="B326" s="18" t="str" cm="1">
        <f t="array" aca="1" ref="B326" ca="1">"#define MPU_S_OC_RW_IDX"&amp;A321&amp;"  0x"&amp;DEC2HEX((32*INDIRECT("CONFIG!A"&amp;(A326))+(16*INDIRECT("CONFIG!A"&amp;(A326+1)))),2)</f>
        <v>#define MPU_S_OC_RW_IDX3  0x00</v>
      </c>
    </row>
    <row r="327" spans="1:2" x14ac:dyDescent="0.25">
      <c r="A327">
        <f>A325+1</f>
        <v>205</v>
      </c>
      <c r="B327" s="18" t="str" cm="1">
        <f t="array" aca="1" ref="B327" ca="1">"#define MPU_S_IC_RW_IDX"&amp;A321&amp;"  0x"&amp;DEC2HEX((2*INDIRECT("CONFIG!A"&amp;(A327))+(1*INDIRECT("CONFIG!A"&amp;(A327+1)))),2)</f>
        <v>#define MPU_S_IC_RW_IDX3  0x00</v>
      </c>
    </row>
    <row r="328" spans="1:2" x14ac:dyDescent="0.25">
      <c r="B328" s="18" t="str">
        <f>"#if (MPU_S_OC_POL_IDX"&amp;A321&amp;" == 0x10)"</f>
        <v>#if (MPU_S_OC_POL_IDX3 == 0x10)</v>
      </c>
    </row>
    <row r="329" spans="1:2" x14ac:dyDescent="0.25">
      <c r="B329" s="18" t="str">
        <f>"#define MPU_S_OUTERCACHE_IDX"&amp;A321&amp;"  0x40"</f>
        <v>#define MPU_S_OUTERCACHE_IDX3  0x40</v>
      </c>
    </row>
    <row r="330" spans="1:2" x14ac:dyDescent="0.25">
      <c r="B330" s="18" t="s">
        <v>24</v>
      </c>
    </row>
    <row r="331" spans="1:2" x14ac:dyDescent="0.25">
      <c r="B331" s="18" t="str">
        <f>"#define MPU_S_OUTERCACHE_IDX"&amp;A321&amp;"  (MPU_S_OC_POL_IDX"&amp;A321&amp;" | MPU_S_OC_RW_IDX"&amp;A321&amp;")"</f>
        <v>#define MPU_S_OUTERCACHE_IDX3  (MPU_S_OC_POL_IDX3 | MPU_S_OC_RW_IDX3)</v>
      </c>
    </row>
    <row r="332" spans="1:2" x14ac:dyDescent="0.25">
      <c r="B332" s="18" t="s">
        <v>25</v>
      </c>
    </row>
    <row r="333" spans="1:2" x14ac:dyDescent="0.25">
      <c r="B333" s="18" t="str">
        <f>"#if (MPU_S_IC_POL_IDX"&amp;A321&amp;" == 0x01)"</f>
        <v>#if (MPU_S_IC_POL_IDX3 == 0x01)</v>
      </c>
    </row>
    <row r="334" spans="1:2" x14ac:dyDescent="0.25">
      <c r="B334" s="18" t="str">
        <f>"#define MPU_S_INNERCACHE_IDX"&amp;A321&amp;"  0x04"</f>
        <v>#define MPU_S_INNERCACHE_IDX3  0x04</v>
      </c>
    </row>
    <row r="335" spans="1:2" x14ac:dyDescent="0.25">
      <c r="B335" s="18" t="s">
        <v>24</v>
      </c>
    </row>
    <row r="336" spans="1:2" x14ac:dyDescent="0.25">
      <c r="B336" s="18" t="str">
        <f>"#define MPU_S_INNERCACHE_IDX"&amp;A321&amp;"  (MPU_S_IC_POL_IDX"&amp;A321&amp;" | MPU_S_IC_RW_IDX"&amp;A321&amp;")"</f>
        <v>#define MPU_S_INNERCACHE_IDX3  (MPU_S_IC_POL_IDX3 | MPU_S_IC_RW_IDX3)</v>
      </c>
    </row>
    <row r="337" spans="1:2" x14ac:dyDescent="0.25">
      <c r="B337" s="18" t="s">
        <v>25</v>
      </c>
    </row>
    <row r="338" spans="1:2" x14ac:dyDescent="0.25">
      <c r="B338" s="18" t="str">
        <f>"#if (MPU_S_TYPE_IDX"&amp;A321&amp;" == 0x01)"</f>
        <v>#if (MPU_S_TYPE_IDX3 == 0x01)</v>
      </c>
    </row>
    <row r="339" spans="1:2" x14ac:dyDescent="0.25">
      <c r="B339" s="18" t="str">
        <f>"#define MPU_S_VAL_IDX"&amp;A321&amp;"         (MPU_S_OUTERCACHE_IDX"&amp;A321&amp;" | MPU_S_INNERCACHE_IDX"&amp;A321&amp;")"</f>
        <v>#define MPU_S_VAL_IDX3         (MPU_S_OUTERCACHE_IDX3 | MPU_S_INNERCACHE_IDX3)</v>
      </c>
    </row>
    <row r="340" spans="1:2" x14ac:dyDescent="0.25">
      <c r="B340" s="18" t="s">
        <v>24</v>
      </c>
    </row>
    <row r="341" spans="1:2" x14ac:dyDescent="0.25">
      <c r="B341" s="18" t="str">
        <f>"#define MPU_S_VAL_IDX"&amp;A321&amp;"         (MPU_S_TYPE_IDX"&amp;A321&amp;")"</f>
        <v>#define MPU_S_VAL_IDX3         (MPU_S_TYPE_IDX3)</v>
      </c>
    </row>
    <row r="342" spans="1:2" x14ac:dyDescent="0.25">
      <c r="B342" s="18" t="s">
        <v>25</v>
      </c>
    </row>
    <row r="343" spans="1:2" x14ac:dyDescent="0.25">
      <c r="B343" s="18" t="s">
        <v>138</v>
      </c>
    </row>
    <row r="344" spans="1:2" x14ac:dyDescent="0.25">
      <c r="A344" s="23">
        <f>A321+1</f>
        <v>4</v>
      </c>
      <c r="B344" s="18" t="str">
        <f>"// MPU_S IDX "&amp;A344&amp;" ********************************"</f>
        <v>// MPU_S IDX 4 ********************************</v>
      </c>
    </row>
    <row r="345" spans="1:2" x14ac:dyDescent="0.25">
      <c r="A345" s="23">
        <f>A322+10</f>
        <v>208</v>
      </c>
      <c r="B345" s="18" t="str">
        <f ca="1">"#define MPU_S_INIT_IDX"&amp;A344&amp;"   "&amp;N(INDIRECT("CONFIG!A"&amp;A345))</f>
        <v>#define MPU_S_INIT_IDX4   0</v>
      </c>
    </row>
    <row r="346" spans="1:2" x14ac:dyDescent="0.25">
      <c r="A346">
        <f>A345+2</f>
        <v>210</v>
      </c>
      <c r="B346" s="18" t="str" cm="1">
        <f t="array" aca="1" ref="B346" ca="1">"#define MPU_S_TYPE_IDX"&amp;A344&amp;"   "&amp;"0x"&amp;DEC2HEX(HEX2DEC(INDIRECT("CONFIG!A"&amp;INDIRECT("CONFIG!A"&amp;(A346))+264)),2)</f>
        <v>#define MPU_S_TYPE_IDX4   0x01</v>
      </c>
    </row>
    <row r="347" spans="1:2" x14ac:dyDescent="0.25">
      <c r="A347">
        <f>A346+1</f>
        <v>211</v>
      </c>
      <c r="B347" s="18" t="str" cm="1">
        <f t="array" aca="1" ref="B347" ca="1">"#define MPU_S_OC_POL_IDX"&amp;A344&amp;" 0x"&amp;DEC2HEX(16*HEX2DEC(INDIRECT("CONFIG!A"&amp;INDIRECT("CONFIG!A"&amp;(A347))+273)),2)</f>
        <v>#define MPU_S_OC_POL_IDX4 0x00</v>
      </c>
    </row>
    <row r="348" spans="1:2" x14ac:dyDescent="0.25">
      <c r="A348">
        <f>A347+3</f>
        <v>214</v>
      </c>
      <c r="B348" s="18" t="str" cm="1">
        <f t="array" aca="1" ref="B348" ca="1">"#define MPU_S_IC_POL_IDX"&amp;A344&amp;" 0x"&amp;DEC2HEX(HEX2DEC(INDIRECT("CONFIG!A"&amp;INDIRECT("CONFIG!A"&amp;(A348))+273)),2)</f>
        <v>#define MPU_S_IC_POL_IDX4 0x01</v>
      </c>
    </row>
    <row r="349" spans="1:2" x14ac:dyDescent="0.25">
      <c r="A349">
        <f>A347+1</f>
        <v>212</v>
      </c>
      <c r="B349" s="18" t="str" cm="1">
        <f t="array" aca="1" ref="B349" ca="1">"#define MPU_S_OC_RW_IDX"&amp;A344&amp;"  0x"&amp;DEC2HEX((32*INDIRECT("CONFIG!A"&amp;(A349))+(16*INDIRECT("CONFIG!A"&amp;(A349+1)))),2)</f>
        <v>#define MPU_S_OC_RW_IDX4  0x00</v>
      </c>
    </row>
    <row r="350" spans="1:2" x14ac:dyDescent="0.25">
      <c r="A350">
        <f>A348+1</f>
        <v>215</v>
      </c>
      <c r="B350" s="18" t="str" cm="1">
        <f t="array" aca="1" ref="B350" ca="1">"#define MPU_S_IC_RW_IDX"&amp;A344&amp;"  0x"&amp;DEC2HEX((2*INDIRECT("CONFIG!A"&amp;(A350))+(1*INDIRECT("CONFIG!A"&amp;(A350+1)))),2)</f>
        <v>#define MPU_S_IC_RW_IDX4  0x00</v>
      </c>
    </row>
    <row r="351" spans="1:2" x14ac:dyDescent="0.25">
      <c r="B351" s="18" t="str">
        <f>"#if (MPU_S_OC_POL_IDX"&amp;A344&amp;" == 0x10)"</f>
        <v>#if (MPU_S_OC_POL_IDX4 == 0x10)</v>
      </c>
    </row>
    <row r="352" spans="1:2" x14ac:dyDescent="0.25">
      <c r="B352" s="18" t="str">
        <f>"#define MPU_S_OUTERCACHE_IDX"&amp;A344&amp;"  0x40"</f>
        <v>#define MPU_S_OUTERCACHE_IDX4  0x40</v>
      </c>
    </row>
    <row r="353" spans="1:2" x14ac:dyDescent="0.25">
      <c r="B353" s="18" t="s">
        <v>24</v>
      </c>
    </row>
    <row r="354" spans="1:2" x14ac:dyDescent="0.25">
      <c r="B354" s="18" t="str">
        <f>"#define MPU_S_OUTERCACHE_IDX"&amp;A344&amp;"  (MPU_S_OC_POL_IDX"&amp;A344&amp;" | MPU_S_OC_RW_IDX"&amp;A344&amp;")"</f>
        <v>#define MPU_S_OUTERCACHE_IDX4  (MPU_S_OC_POL_IDX4 | MPU_S_OC_RW_IDX4)</v>
      </c>
    </row>
    <row r="355" spans="1:2" x14ac:dyDescent="0.25">
      <c r="B355" s="18" t="s">
        <v>25</v>
      </c>
    </row>
    <row r="356" spans="1:2" x14ac:dyDescent="0.25">
      <c r="B356" s="18" t="str">
        <f>"#if (MPU_S_IC_POL_IDX"&amp;A344&amp;" == 0x01)"</f>
        <v>#if (MPU_S_IC_POL_IDX4 == 0x01)</v>
      </c>
    </row>
    <row r="357" spans="1:2" x14ac:dyDescent="0.25">
      <c r="B357" s="18" t="str">
        <f>"#define MPU_S_INNERCACHE_IDX"&amp;A344&amp;"  0x04"</f>
        <v>#define MPU_S_INNERCACHE_IDX4  0x04</v>
      </c>
    </row>
    <row r="358" spans="1:2" x14ac:dyDescent="0.25">
      <c r="B358" s="18" t="s">
        <v>24</v>
      </c>
    </row>
    <row r="359" spans="1:2" x14ac:dyDescent="0.25">
      <c r="B359" s="18" t="str">
        <f>"#define MPU_S_INNERCACHE_IDX"&amp;A344&amp;"  (MPU_S_IC_POL_IDX"&amp;A344&amp;" | MPU_S_IC_RW_IDX"&amp;A344&amp;")"</f>
        <v>#define MPU_S_INNERCACHE_IDX4  (MPU_S_IC_POL_IDX4 | MPU_S_IC_RW_IDX4)</v>
      </c>
    </row>
    <row r="360" spans="1:2" x14ac:dyDescent="0.25">
      <c r="B360" s="18" t="s">
        <v>25</v>
      </c>
    </row>
    <row r="361" spans="1:2" x14ac:dyDescent="0.25">
      <c r="B361" s="18" t="str">
        <f>"#if (MPU_S_TYPE_IDX"&amp;A344&amp;" == 0x01)"</f>
        <v>#if (MPU_S_TYPE_IDX4 == 0x01)</v>
      </c>
    </row>
    <row r="362" spans="1:2" x14ac:dyDescent="0.25">
      <c r="B362" s="18" t="str">
        <f>"#define MPU_S_VAL_IDX"&amp;A344&amp;"         (MPU_S_OUTERCACHE_IDX"&amp;A344&amp;" | MPU_S_INNERCACHE_IDX"&amp;A344&amp;")"</f>
        <v>#define MPU_S_VAL_IDX4         (MPU_S_OUTERCACHE_IDX4 | MPU_S_INNERCACHE_IDX4)</v>
      </c>
    </row>
    <row r="363" spans="1:2" x14ac:dyDescent="0.25">
      <c r="B363" s="18" t="s">
        <v>24</v>
      </c>
    </row>
    <row r="364" spans="1:2" x14ac:dyDescent="0.25">
      <c r="B364" s="18" t="str">
        <f>"#define MPU_S_VAL_IDX"&amp;A344&amp;"         (MPU_S_TYPE_IDX"&amp;A344&amp;")"</f>
        <v>#define MPU_S_VAL_IDX4         (MPU_S_TYPE_IDX4)</v>
      </c>
    </row>
    <row r="365" spans="1:2" x14ac:dyDescent="0.25">
      <c r="B365" s="18" t="s">
        <v>25</v>
      </c>
    </row>
    <row r="366" spans="1:2" x14ac:dyDescent="0.25">
      <c r="B366" s="18" t="s">
        <v>138</v>
      </c>
    </row>
    <row r="367" spans="1:2" x14ac:dyDescent="0.25">
      <c r="A367" s="23">
        <f>A344+1</f>
        <v>5</v>
      </c>
      <c r="B367" s="18" t="str">
        <f>"// MPU_S IDX "&amp;A367&amp;" ********************************"</f>
        <v>// MPU_S IDX 5 ********************************</v>
      </c>
    </row>
    <row r="368" spans="1:2" x14ac:dyDescent="0.25">
      <c r="A368" s="23">
        <f>A345+10</f>
        <v>218</v>
      </c>
      <c r="B368" s="18" t="str">
        <f ca="1">"#define MPU_S_INIT_IDX"&amp;A367&amp;"   "&amp;N(INDIRECT("CONFIG!A"&amp;A368))</f>
        <v>#define MPU_S_INIT_IDX5   0</v>
      </c>
    </row>
    <row r="369" spans="1:2" x14ac:dyDescent="0.25">
      <c r="A369">
        <f>A368+2</f>
        <v>220</v>
      </c>
      <c r="B369" s="18" t="str" cm="1">
        <f t="array" aca="1" ref="B369" ca="1">"#define MPU_S_TYPE_IDX"&amp;A367&amp;"   "&amp;"0x"&amp;DEC2HEX(HEX2DEC(INDIRECT("CONFIG!A"&amp;INDIRECT("CONFIG!A"&amp;(A369))+264)),2)</f>
        <v>#define MPU_S_TYPE_IDX5   0x01</v>
      </c>
    </row>
    <row r="370" spans="1:2" x14ac:dyDescent="0.25">
      <c r="A370">
        <f>A369+1</f>
        <v>221</v>
      </c>
      <c r="B370" s="18" t="str" cm="1">
        <f t="array" aca="1" ref="B370" ca="1">"#define MPU_S_OC_POL_IDX"&amp;A367&amp;" 0x"&amp;DEC2HEX(16*HEX2DEC(INDIRECT("CONFIG!A"&amp;INDIRECT("CONFIG!A"&amp;(A370))+273)),2)</f>
        <v>#define MPU_S_OC_POL_IDX5 0x10</v>
      </c>
    </row>
    <row r="371" spans="1:2" x14ac:dyDescent="0.25">
      <c r="A371">
        <f>A370+3</f>
        <v>224</v>
      </c>
      <c r="B371" s="18" t="str" cm="1">
        <f t="array" aca="1" ref="B371" ca="1">"#define MPU_S_IC_POL_IDX"&amp;A367&amp;" 0x"&amp;DEC2HEX(HEX2DEC(INDIRECT("CONFIG!A"&amp;INDIRECT("CONFIG!A"&amp;(A371))+273)),2)</f>
        <v>#define MPU_S_IC_POL_IDX5 0x01</v>
      </c>
    </row>
    <row r="372" spans="1:2" x14ac:dyDescent="0.25">
      <c r="A372">
        <f>A370+1</f>
        <v>222</v>
      </c>
      <c r="B372" s="18" t="str" cm="1">
        <f t="array" aca="1" ref="B372" ca="1">"#define MPU_S_OC_RW_IDX"&amp;A367&amp;"  0x"&amp;DEC2HEX((32*INDIRECT("CONFIG!A"&amp;(A372))+(16*INDIRECT("CONFIG!A"&amp;(A372+1)))),2)</f>
        <v>#define MPU_S_OC_RW_IDX5  0x00</v>
      </c>
    </row>
    <row r="373" spans="1:2" x14ac:dyDescent="0.25">
      <c r="A373">
        <f>A371+1</f>
        <v>225</v>
      </c>
      <c r="B373" s="18" t="str" cm="1">
        <f t="array" aca="1" ref="B373" ca="1">"#define MPU_S_IC_RW_IDX"&amp;A367&amp;"  0x"&amp;DEC2HEX((2*INDIRECT("CONFIG!A"&amp;(A373))+(1*INDIRECT("CONFIG!A"&amp;(A373+1)))),2)</f>
        <v>#define MPU_S_IC_RW_IDX5  0x00</v>
      </c>
    </row>
    <row r="374" spans="1:2" x14ac:dyDescent="0.25">
      <c r="B374" s="18" t="str">
        <f>"#if (MPU_S_OC_POL_IDX"&amp;A367&amp;" == 0x10)"</f>
        <v>#if (MPU_S_OC_POL_IDX5 == 0x10)</v>
      </c>
    </row>
    <row r="375" spans="1:2" x14ac:dyDescent="0.25">
      <c r="B375" s="18" t="str">
        <f>"#define MPU_S_OUTERCACHE_IDX"&amp;A367&amp;"  0x40"</f>
        <v>#define MPU_S_OUTERCACHE_IDX5  0x40</v>
      </c>
    </row>
    <row r="376" spans="1:2" x14ac:dyDescent="0.25">
      <c r="B376" s="18" t="s">
        <v>24</v>
      </c>
    </row>
    <row r="377" spans="1:2" x14ac:dyDescent="0.25">
      <c r="B377" s="18" t="str">
        <f>"#define MPU_S_OUTERCACHE_IDX"&amp;A367&amp;"  (MPU_S_OC_POL_IDX"&amp;A367&amp;" | MPU_S_OC_RW_IDX"&amp;A367&amp;")"</f>
        <v>#define MPU_S_OUTERCACHE_IDX5  (MPU_S_OC_POL_IDX5 | MPU_S_OC_RW_IDX5)</v>
      </c>
    </row>
    <row r="378" spans="1:2" x14ac:dyDescent="0.25">
      <c r="B378" s="18" t="s">
        <v>25</v>
      </c>
    </row>
    <row r="379" spans="1:2" x14ac:dyDescent="0.25">
      <c r="B379" s="18" t="str">
        <f>"#if (MPU_S_IC_POL_IDX"&amp;A367&amp;" == 0x01)"</f>
        <v>#if (MPU_S_IC_POL_IDX5 == 0x01)</v>
      </c>
    </row>
    <row r="380" spans="1:2" x14ac:dyDescent="0.25">
      <c r="B380" s="18" t="str">
        <f>"#define MPU_S_INNERCACHE_IDX"&amp;A367&amp;"  0x04"</f>
        <v>#define MPU_S_INNERCACHE_IDX5  0x04</v>
      </c>
    </row>
    <row r="381" spans="1:2" x14ac:dyDescent="0.25">
      <c r="B381" s="18" t="s">
        <v>24</v>
      </c>
    </row>
    <row r="382" spans="1:2" x14ac:dyDescent="0.25">
      <c r="B382" s="18" t="str">
        <f>"#define MPU_S_INNERCACHE_IDX"&amp;A367&amp;"  (MPU_S_IC_POL_IDX"&amp;A367&amp;" | MPU_S_IC_RW_IDX"&amp;A367&amp;")"</f>
        <v>#define MPU_S_INNERCACHE_IDX5  (MPU_S_IC_POL_IDX5 | MPU_S_IC_RW_IDX5)</v>
      </c>
    </row>
    <row r="383" spans="1:2" x14ac:dyDescent="0.25">
      <c r="B383" s="18" t="s">
        <v>25</v>
      </c>
    </row>
    <row r="384" spans="1:2" x14ac:dyDescent="0.25">
      <c r="B384" s="18" t="str">
        <f>"#if (MPU_S_TYPE_IDX"&amp;A367&amp;" == 0x01)"</f>
        <v>#if (MPU_S_TYPE_IDX5 == 0x01)</v>
      </c>
    </row>
    <row r="385" spans="1:2" x14ac:dyDescent="0.25">
      <c r="B385" s="18" t="str">
        <f>"#define MPU_S_VAL_IDX"&amp;A367&amp;"         (MPU_S_OUTERCACHE_IDX"&amp;A367&amp;" | MPU_S_INNERCACHE_IDX"&amp;A367&amp;")"</f>
        <v>#define MPU_S_VAL_IDX5         (MPU_S_OUTERCACHE_IDX5 | MPU_S_INNERCACHE_IDX5)</v>
      </c>
    </row>
    <row r="386" spans="1:2" x14ac:dyDescent="0.25">
      <c r="B386" s="18" t="s">
        <v>24</v>
      </c>
    </row>
    <row r="387" spans="1:2" x14ac:dyDescent="0.25">
      <c r="B387" s="18" t="str">
        <f>"#define MPU_S_VAL_IDX"&amp;A367&amp;"         (MPU_S_TYPE_IDX"&amp;A367&amp;")"</f>
        <v>#define MPU_S_VAL_IDX5         (MPU_S_TYPE_IDX5)</v>
      </c>
    </row>
    <row r="388" spans="1:2" x14ac:dyDescent="0.25">
      <c r="B388" s="18" t="s">
        <v>25</v>
      </c>
    </row>
    <row r="389" spans="1:2" x14ac:dyDescent="0.25">
      <c r="B389" s="18" t="s">
        <v>138</v>
      </c>
    </row>
    <row r="390" spans="1:2" x14ac:dyDescent="0.25">
      <c r="A390" s="23">
        <f>A367+1</f>
        <v>6</v>
      </c>
      <c r="B390" s="18" t="str">
        <f>"// MPU_S IDX "&amp;A390&amp;" ********************************"</f>
        <v>// MPU_S IDX 6 ********************************</v>
      </c>
    </row>
    <row r="391" spans="1:2" x14ac:dyDescent="0.25">
      <c r="A391" s="23">
        <f>A368+10</f>
        <v>228</v>
      </c>
      <c r="B391" s="18" t="str">
        <f ca="1">"#define MPU_S_INIT_IDX"&amp;A390&amp;"   "&amp;N(INDIRECT("CONFIG!A"&amp;A391))</f>
        <v>#define MPU_S_INIT_IDX6   0</v>
      </c>
    </row>
    <row r="392" spans="1:2" x14ac:dyDescent="0.25">
      <c r="A392">
        <f>A391+2</f>
        <v>230</v>
      </c>
      <c r="B392" s="18" t="str" cm="1">
        <f t="array" aca="1" ref="B392" ca="1">"#define MPU_S_TYPE_IDX"&amp;A390&amp;"   "&amp;"0x"&amp;DEC2HEX(HEX2DEC(INDIRECT("CONFIG!A"&amp;INDIRECT("CONFIG!A"&amp;(A392))+264)),2)</f>
        <v>#define MPU_S_TYPE_IDX6   0x01</v>
      </c>
    </row>
    <row r="393" spans="1:2" x14ac:dyDescent="0.25">
      <c r="A393">
        <f>A392+1</f>
        <v>231</v>
      </c>
      <c r="B393" s="18" t="str" cm="1">
        <f t="array" aca="1" ref="B393" ca="1">"#define MPU_S_OC_POL_IDX"&amp;A390&amp;" 0x"&amp;DEC2HEX(16*HEX2DEC(INDIRECT("CONFIG!A"&amp;INDIRECT("CONFIG!A"&amp;(A393))+273)),2)</f>
        <v>#define MPU_S_OC_POL_IDX6 0x10</v>
      </c>
    </row>
    <row r="394" spans="1:2" x14ac:dyDescent="0.25">
      <c r="A394">
        <f>A393+3</f>
        <v>234</v>
      </c>
      <c r="B394" s="18" t="str" cm="1">
        <f t="array" aca="1" ref="B394" ca="1">"#define MPU_S_IC_POL_IDX"&amp;A390&amp;" 0x"&amp;DEC2HEX(HEX2DEC(INDIRECT("CONFIG!A"&amp;INDIRECT("CONFIG!A"&amp;(A394))+273)),2)</f>
        <v>#define MPU_S_IC_POL_IDX6 0x01</v>
      </c>
    </row>
    <row r="395" spans="1:2" x14ac:dyDescent="0.25">
      <c r="A395">
        <f>A393+1</f>
        <v>232</v>
      </c>
      <c r="B395" s="18" t="str" cm="1">
        <f t="array" aca="1" ref="B395" ca="1">"#define MPU_S_OC_RW_IDX"&amp;A390&amp;"  0x"&amp;DEC2HEX((32*INDIRECT("CONFIG!A"&amp;(A395))+(16*INDIRECT("CONFIG!A"&amp;(A395+1)))),2)</f>
        <v>#define MPU_S_OC_RW_IDX6  0x00</v>
      </c>
    </row>
    <row r="396" spans="1:2" x14ac:dyDescent="0.25">
      <c r="A396">
        <f>A394+1</f>
        <v>235</v>
      </c>
      <c r="B396" s="18" t="str" cm="1">
        <f t="array" aca="1" ref="B396" ca="1">"#define MPU_S_IC_RW_IDX"&amp;A390&amp;"  0x"&amp;DEC2HEX((2*INDIRECT("CONFIG!A"&amp;(A396))+(1*INDIRECT("CONFIG!A"&amp;(A396+1)))),2)</f>
        <v>#define MPU_S_IC_RW_IDX6  0x00</v>
      </c>
    </row>
    <row r="397" spans="1:2" x14ac:dyDescent="0.25">
      <c r="B397" s="18" t="str">
        <f>"#if (MPU_S_OC_POL_IDX"&amp;A390&amp;" == 0x10)"</f>
        <v>#if (MPU_S_OC_POL_IDX6 == 0x10)</v>
      </c>
    </row>
    <row r="398" spans="1:2" x14ac:dyDescent="0.25">
      <c r="B398" s="18" t="str">
        <f>"#define MPU_S_OUTERCACHE_IDX"&amp;A390&amp;"  0x40"</f>
        <v>#define MPU_S_OUTERCACHE_IDX6  0x40</v>
      </c>
    </row>
    <row r="399" spans="1:2" x14ac:dyDescent="0.25">
      <c r="B399" s="18" t="s">
        <v>24</v>
      </c>
    </row>
    <row r="400" spans="1:2" x14ac:dyDescent="0.25">
      <c r="B400" s="18" t="str">
        <f>"#define MPU_S_OUTERCACHE_IDX"&amp;A390&amp;"  (MPU_S_OC_POL_IDX"&amp;A390&amp;" | MPU_S_OC_RW_IDX"&amp;A390&amp;")"</f>
        <v>#define MPU_S_OUTERCACHE_IDX6  (MPU_S_OC_POL_IDX6 | MPU_S_OC_RW_IDX6)</v>
      </c>
    </row>
    <row r="401" spans="1:2" x14ac:dyDescent="0.25">
      <c r="B401" s="18" t="s">
        <v>25</v>
      </c>
    </row>
    <row r="402" spans="1:2" x14ac:dyDescent="0.25">
      <c r="B402" s="18" t="str">
        <f>"#if (MPU_S_IC_POL_IDX"&amp;A390&amp;" == 0x01)"</f>
        <v>#if (MPU_S_IC_POL_IDX6 == 0x01)</v>
      </c>
    </row>
    <row r="403" spans="1:2" x14ac:dyDescent="0.25">
      <c r="B403" s="18" t="str">
        <f>"#define MPU_S_INNERCACHE_IDX"&amp;A390&amp;"  0x04"</f>
        <v>#define MPU_S_INNERCACHE_IDX6  0x04</v>
      </c>
    </row>
    <row r="404" spans="1:2" x14ac:dyDescent="0.25">
      <c r="B404" s="18" t="s">
        <v>24</v>
      </c>
    </row>
    <row r="405" spans="1:2" x14ac:dyDescent="0.25">
      <c r="B405" s="18" t="str">
        <f>"#define MPU_S_INNERCACHE_IDX"&amp;A390&amp;"  (MPU_S_IC_POL_IDX"&amp;A390&amp;" | MPU_S_IC_RW_IDX"&amp;A390&amp;")"</f>
        <v>#define MPU_S_INNERCACHE_IDX6  (MPU_S_IC_POL_IDX6 | MPU_S_IC_RW_IDX6)</v>
      </c>
    </row>
    <row r="406" spans="1:2" x14ac:dyDescent="0.25">
      <c r="B406" s="18" t="s">
        <v>25</v>
      </c>
    </row>
    <row r="407" spans="1:2" x14ac:dyDescent="0.25">
      <c r="B407" s="18" t="str">
        <f>"#if (MPU_S_TYPE_IDX"&amp;A390&amp;" == 0x01)"</f>
        <v>#if (MPU_S_TYPE_IDX6 == 0x01)</v>
      </c>
    </row>
    <row r="408" spans="1:2" x14ac:dyDescent="0.25">
      <c r="B408" s="18" t="str">
        <f>"#define MPU_S_VAL_IDX"&amp;A390&amp;"         (MPU_S_OUTERCACHE_IDX"&amp;A390&amp;" | MPU_S_INNERCACHE_IDX"&amp;A390&amp;")"</f>
        <v>#define MPU_S_VAL_IDX6         (MPU_S_OUTERCACHE_IDX6 | MPU_S_INNERCACHE_IDX6)</v>
      </c>
    </row>
    <row r="409" spans="1:2" x14ac:dyDescent="0.25">
      <c r="B409" s="18" t="s">
        <v>24</v>
      </c>
    </row>
    <row r="410" spans="1:2" x14ac:dyDescent="0.25">
      <c r="B410" s="18" t="str">
        <f>"#define MPU_S_VAL_IDX"&amp;A390&amp;"         (MPU_S_TYPE_IDX"&amp;A390&amp;")"</f>
        <v>#define MPU_S_VAL_IDX6         (MPU_S_TYPE_IDX6)</v>
      </c>
    </row>
    <row r="411" spans="1:2" x14ac:dyDescent="0.25">
      <c r="B411" s="18" t="s">
        <v>25</v>
      </c>
    </row>
    <row r="412" spans="1:2" x14ac:dyDescent="0.25">
      <c r="B412" s="18" t="s">
        <v>138</v>
      </c>
    </row>
    <row r="413" spans="1:2" x14ac:dyDescent="0.25">
      <c r="A413" s="23">
        <f>A390+1</f>
        <v>7</v>
      </c>
      <c r="B413" s="18" t="str">
        <f>"// MPU_S IDX "&amp;A413&amp;" ********************************"</f>
        <v>// MPU_S IDX 7 ********************************</v>
      </c>
    </row>
    <row r="414" spans="1:2" x14ac:dyDescent="0.25">
      <c r="A414" s="23">
        <f>A391+10</f>
        <v>238</v>
      </c>
      <c r="B414" s="18" t="str">
        <f ca="1">"#define MPU_S_INIT_IDX"&amp;A413&amp;"   "&amp;N(INDIRECT("CONFIG!A"&amp;A414))</f>
        <v>#define MPU_S_INIT_IDX7   0</v>
      </c>
    </row>
    <row r="415" spans="1:2" x14ac:dyDescent="0.25">
      <c r="A415">
        <f>A414+2</f>
        <v>240</v>
      </c>
      <c r="B415" s="18" t="str" cm="1">
        <f t="array" aca="1" ref="B415" ca="1">"#define MPU_S_TYPE_IDX"&amp;A413&amp;"   "&amp;"0x"&amp;DEC2HEX(HEX2DEC(INDIRECT("CONFIG!A"&amp;INDIRECT("CONFIG!A"&amp;(A415))+264)),2)</f>
        <v>#define MPU_S_TYPE_IDX7   0x01</v>
      </c>
    </row>
    <row r="416" spans="1:2" x14ac:dyDescent="0.25">
      <c r="A416">
        <f>A415+1</f>
        <v>241</v>
      </c>
      <c r="B416" s="18" t="str" cm="1">
        <f t="array" aca="1" ref="B416" ca="1">"#define MPU_S_OC_POL_IDX"&amp;A413&amp;" 0x"&amp;DEC2HEX(16*HEX2DEC(INDIRECT("CONFIG!A"&amp;INDIRECT("CONFIG!A"&amp;(A416))+273)),2)</f>
        <v>#define MPU_S_OC_POL_IDX7 0x10</v>
      </c>
    </row>
    <row r="417" spans="1:2" x14ac:dyDescent="0.25">
      <c r="A417">
        <f>A416+3</f>
        <v>244</v>
      </c>
      <c r="B417" s="18" t="str" cm="1">
        <f t="array" aca="1" ref="B417" ca="1">"#define MPU_S_IC_POL_IDX"&amp;A413&amp;" 0x"&amp;DEC2HEX(HEX2DEC(INDIRECT("CONFIG!A"&amp;INDIRECT("CONFIG!A"&amp;(A417))+273)),2)</f>
        <v>#define MPU_S_IC_POL_IDX7 0x01</v>
      </c>
    </row>
    <row r="418" spans="1:2" x14ac:dyDescent="0.25">
      <c r="A418">
        <f>A416+1</f>
        <v>242</v>
      </c>
      <c r="B418" s="18" t="str" cm="1">
        <f t="array" aca="1" ref="B418" ca="1">"#define MPU_S_OC_RW_IDX"&amp;A413&amp;"  0x"&amp;DEC2HEX((32*INDIRECT("CONFIG!A"&amp;(A418))+(16*INDIRECT("CONFIG!A"&amp;(A418+1)))),2)</f>
        <v>#define MPU_S_OC_RW_IDX7  0x00</v>
      </c>
    </row>
    <row r="419" spans="1:2" x14ac:dyDescent="0.25">
      <c r="A419">
        <f>A417+1</f>
        <v>245</v>
      </c>
      <c r="B419" s="18" t="str" cm="1">
        <f t="array" aca="1" ref="B419" ca="1">"#define MPU_S_IC_RW_IDX"&amp;A413&amp;"  0x"&amp;DEC2HEX((2*INDIRECT("CONFIG!A"&amp;(A419))+(1*INDIRECT("CONFIG!A"&amp;(A419+1)))),2)</f>
        <v>#define MPU_S_IC_RW_IDX7  0x00</v>
      </c>
    </row>
    <row r="420" spans="1:2" x14ac:dyDescent="0.25">
      <c r="B420" s="18" t="str">
        <f>"#if (MPU_S_OC_POL_IDX"&amp;A413&amp;" == 0x10)"</f>
        <v>#if (MPU_S_OC_POL_IDX7 == 0x10)</v>
      </c>
    </row>
    <row r="421" spans="1:2" x14ac:dyDescent="0.25">
      <c r="B421" s="18" t="str">
        <f>"#define MPU_S_OUTERCACHE_IDX"&amp;A413&amp;"  0x40"</f>
        <v>#define MPU_S_OUTERCACHE_IDX7  0x40</v>
      </c>
    </row>
    <row r="422" spans="1:2" x14ac:dyDescent="0.25">
      <c r="B422" s="18" t="s">
        <v>24</v>
      </c>
    </row>
    <row r="423" spans="1:2" x14ac:dyDescent="0.25">
      <c r="B423" s="18" t="str">
        <f>"#define MPU_S_OUTERCACHE_IDX"&amp;A413&amp;"  (MPU_S_OC_POL_IDX"&amp;A413&amp;" | MPU_S_OC_RW_IDX"&amp;A413&amp;")"</f>
        <v>#define MPU_S_OUTERCACHE_IDX7  (MPU_S_OC_POL_IDX7 | MPU_S_OC_RW_IDX7)</v>
      </c>
    </row>
    <row r="424" spans="1:2" x14ac:dyDescent="0.25">
      <c r="B424" s="18" t="s">
        <v>25</v>
      </c>
    </row>
    <row r="425" spans="1:2" x14ac:dyDescent="0.25">
      <c r="B425" s="18" t="str">
        <f>"#if (MPU_S_IC_POL_IDX"&amp;A413&amp;" == 0x01)"</f>
        <v>#if (MPU_S_IC_POL_IDX7 == 0x01)</v>
      </c>
    </row>
    <row r="426" spans="1:2" x14ac:dyDescent="0.25">
      <c r="B426" s="18" t="str">
        <f>"#define MPU_S_INNERCACHE_IDX"&amp;A413&amp;"  0x04"</f>
        <v>#define MPU_S_INNERCACHE_IDX7  0x04</v>
      </c>
    </row>
    <row r="427" spans="1:2" x14ac:dyDescent="0.25">
      <c r="B427" s="18" t="s">
        <v>24</v>
      </c>
    </row>
    <row r="428" spans="1:2" x14ac:dyDescent="0.25">
      <c r="B428" s="18" t="str">
        <f>"#define MPU_S_INNERCACHE_IDX"&amp;A413&amp;"  (MPU_S_IC_POL_IDX"&amp;A413&amp;" | MPU_S_IC_RW_IDX"&amp;A413&amp;")"</f>
        <v>#define MPU_S_INNERCACHE_IDX7  (MPU_S_IC_POL_IDX7 | MPU_S_IC_RW_IDX7)</v>
      </c>
    </row>
    <row r="429" spans="1:2" x14ac:dyDescent="0.25">
      <c r="B429" s="18" t="s">
        <v>25</v>
      </c>
    </row>
    <row r="430" spans="1:2" x14ac:dyDescent="0.25">
      <c r="B430" s="18" t="str">
        <f>"#if (MPU_S_TYPE_IDX"&amp;A413&amp;" == 0x01)"</f>
        <v>#if (MPU_S_TYPE_IDX7 == 0x01)</v>
      </c>
    </row>
    <row r="431" spans="1:2" x14ac:dyDescent="0.25">
      <c r="B431" s="18" t="str">
        <f>"#define MPU_S_VAL_IDX"&amp;A413&amp;"         (MPU_S_OUTERCACHE_IDX"&amp;A413&amp;" | MPU_S_INNERCACHE_IDX"&amp;A413&amp;")"</f>
        <v>#define MPU_S_VAL_IDX7         (MPU_S_OUTERCACHE_IDX7 | MPU_S_INNERCACHE_IDX7)</v>
      </c>
    </row>
    <row r="432" spans="1:2" x14ac:dyDescent="0.25">
      <c r="B432" s="18" t="s">
        <v>24</v>
      </c>
    </row>
    <row r="433" spans="1:2" x14ac:dyDescent="0.25">
      <c r="B433" s="18" t="str">
        <f>"#define MPU_S_VAL_IDX"&amp;A413&amp;"         (MPU_S_TYPE_IDX"&amp;A413&amp;")"</f>
        <v>#define MPU_S_VAL_IDX7         (MPU_S_TYPE_IDX7)</v>
      </c>
    </row>
    <row r="434" spans="1:2" x14ac:dyDescent="0.25">
      <c r="B434" s="18" t="s">
        <v>25</v>
      </c>
    </row>
    <row r="435" spans="1:2" x14ac:dyDescent="0.25">
      <c r="B435" s="18" t="s">
        <v>138</v>
      </c>
    </row>
    <row r="436" spans="1:2" x14ac:dyDescent="0.25">
      <c r="B436" s="18" t="s">
        <v>212</v>
      </c>
    </row>
    <row r="437" spans="1:2" x14ac:dyDescent="0.25">
      <c r="B437" s="18" t="s">
        <v>211</v>
      </c>
    </row>
    <row r="438" spans="1:2" x14ac:dyDescent="0.25">
      <c r="B438" s="18" t="s">
        <v>212</v>
      </c>
    </row>
    <row r="439" spans="1:2" x14ac:dyDescent="0.25">
      <c r="B439" s="18" t="s">
        <v>138</v>
      </c>
    </row>
    <row r="440" spans="1:2" x14ac:dyDescent="0.25">
      <c r="B440" s="18" t="s">
        <v>239</v>
      </c>
    </row>
    <row r="441" spans="1:2" x14ac:dyDescent="0.25">
      <c r="B441" s="18" t="str">
        <f>"#define MPU_NS_INIT_ENABLE      "&amp;IF(CONFIG_NS!A405,"1","0")</f>
        <v>#define MPU_NS_INIT_ENABLE      0</v>
      </c>
    </row>
    <row r="442" spans="1:2" x14ac:dyDescent="0.25">
      <c r="B442" s="18" t="str">
        <f>"#define MPU_NS_INIT_PRIVDEFENA  "&amp;IF(CONFIG_NS!A406,"0x00000004","0x00000000")</f>
        <v>#define MPU_NS_INIT_PRIVDEFENA  0x00000000</v>
      </c>
    </row>
    <row r="443" spans="1:2" x14ac:dyDescent="0.25">
      <c r="B443" s="18" t="str">
        <f>"#define MPU_NS_INIT_HFNMIENA    "&amp;IF(CONFIG_NS!A407,"0x00000002","0x00000000")</f>
        <v>#define MPU_NS_INIT_HFNMIENA    0x00000000</v>
      </c>
    </row>
    <row r="444" spans="1:2" x14ac:dyDescent="0.25">
      <c r="B444" s="18" t="s">
        <v>238</v>
      </c>
    </row>
    <row r="445" spans="1:2" x14ac:dyDescent="0.25">
      <c r="B445" s="18" t="s">
        <v>138</v>
      </c>
    </row>
    <row r="446" spans="1:2" x14ac:dyDescent="0.25">
      <c r="A446" s="25">
        <v>0</v>
      </c>
      <c r="B446" s="18" t="str">
        <f>"// MPU_NS Region "&amp;A446&amp;" ********************************"</f>
        <v>// MPU_NS Region 0 ********************************</v>
      </c>
    </row>
    <row r="447" spans="1:2" x14ac:dyDescent="0.25">
      <c r="A447" s="25">
        <v>7</v>
      </c>
      <c r="B447" s="24" t="str">
        <f ca="1">"#define MPU_NS_CONFIG_REG"&amp;A446&amp;"  "&amp;N(INDIRECT("CONFIG_NS!A"&amp;A447))</f>
        <v>#define MPU_NS_CONFIG_REG0  0</v>
      </c>
    </row>
    <row r="448" spans="1:2" x14ac:dyDescent="0.25">
      <c r="A448">
        <f>A447+1</f>
        <v>8</v>
      </c>
      <c r="B448" s="18" t="str">
        <f ca="1">"#define MPU_NS_ENABLE_REG"&amp;A446&amp;"  "&amp;N(INDIRECT("CONFIG_NS!A"&amp;A448))</f>
        <v>#define MPU_NS_ENABLE_REG0  1</v>
      </c>
    </row>
    <row r="449" spans="1:2" x14ac:dyDescent="0.25">
      <c r="A449">
        <f>A447+2</f>
        <v>9</v>
      </c>
      <c r="B449" s="18" t="str" cm="1">
        <f t="array" aca="1" ref="B449" ca="1">"#define MPU_NS_BASE_REG"&amp;A446&amp;"    0x"&amp;INDIRECT("CONFIG_NS!A"&amp;A449)</f>
        <v>#define MPU_NS_BASE_REG0    0x00000000</v>
      </c>
    </row>
    <row r="450" spans="1:2" x14ac:dyDescent="0.25">
      <c r="A450">
        <f>A447+3</f>
        <v>10</v>
      </c>
      <c r="B450" s="18" t="str">
        <f ca="1">"#define MPU_NS_END_REG"&amp;A446&amp;"     0x"&amp;DEC2HEX(HEX2DEC(INDIRECT("CONFIG_NS!A"&amp;A450))+1,8)</f>
        <v>#define MPU_NS_END_REG0     0x00000020</v>
      </c>
    </row>
    <row r="451" spans="1:2" x14ac:dyDescent="0.25">
      <c r="B451" s="18" t="str">
        <f>"#define MPU_NS_LIMIT_REG"&amp;A446&amp;"   (MPU_NS_END_REG"&amp;A446&amp;" - 1u)"</f>
        <v>#define MPU_NS_LIMIT_REG0   (MPU_NS_END_REG0 - 1u)</v>
      </c>
    </row>
    <row r="452" spans="1:2" x14ac:dyDescent="0.25">
      <c r="B452" s="18" t="s">
        <v>216</v>
      </c>
    </row>
    <row r="453" spans="1:2" x14ac:dyDescent="0.25">
      <c r="A453">
        <f>A447+4</f>
        <v>11</v>
      </c>
      <c r="B453" s="18" t="str" cm="1">
        <f t="array" aca="1" ref="B453" ca="1">"#define MPU_NS_PERM_REG"&amp;A446&amp;"    "&amp;INDIRECT("CONFIG_NS!A"&amp;A453)-1</f>
        <v>#define MPU_NS_PERM_REG0    0</v>
      </c>
    </row>
    <row r="454" spans="1:2" x14ac:dyDescent="0.25">
      <c r="A454">
        <f>A447+5</f>
        <v>12</v>
      </c>
      <c r="B454" s="18" t="str">
        <f ca="1">"#define MPU_NS_XN_REG"&amp;A446&amp;"      "&amp;N(INDIRECT("CONFIG_NS!A"&amp;A454))</f>
        <v>#define MPU_NS_XN_REG0      0</v>
      </c>
    </row>
    <row r="455" spans="1:2" x14ac:dyDescent="0.25">
      <c r="A455">
        <f>A447+6</f>
        <v>13</v>
      </c>
      <c r="B455" s="18" t="str">
        <f ca="1">"#define MPU_NS_PXN_REG"&amp;A446&amp;"     "&amp;N(INDIRECT("CONFIG_NS!A"&amp;A455))</f>
        <v>#define MPU_NS_PXN_REG0     0</v>
      </c>
    </row>
    <row r="456" spans="1:2" x14ac:dyDescent="0.25">
      <c r="A456">
        <f>A447+7</f>
        <v>14</v>
      </c>
      <c r="B456" s="18" t="str" cm="1">
        <f t="array" aca="1" ref="B456" ca="1">"#define MPU_NS_SHARE_REG"&amp;A446&amp;"   "&amp;(INDIRECT("CONFIG_NS!A"&amp;A456)-1)</f>
        <v>#define MPU_NS_SHARE_REG0   3</v>
      </c>
    </row>
    <row r="457" spans="1:2" x14ac:dyDescent="0.25">
      <c r="A457">
        <f>A447+8</f>
        <v>15</v>
      </c>
      <c r="B457" s="18" t="str" cm="1">
        <f t="array" aca="1" ref="B457" ca="1">"#define MPU_NS_ATTRIND"&amp;A446&amp;"     "&amp;INDIRECT("CONFIG_NS!A"&amp;A457)-1</f>
        <v>#define MPU_NS_ATTRIND0     0</v>
      </c>
    </row>
    <row r="458" spans="1:2" x14ac:dyDescent="0.25">
      <c r="B458" s="18" t="s">
        <v>138</v>
      </c>
    </row>
    <row r="459" spans="1:2" x14ac:dyDescent="0.25">
      <c r="A459" s="25">
        <f>A412+1</f>
        <v>1</v>
      </c>
      <c r="B459" s="18" t="str">
        <f>"// MPU_NS Region "&amp;A459&amp;" ********************************"</f>
        <v>// MPU_NS Region 1 ********************************</v>
      </c>
    </row>
    <row r="460" spans="1:2" x14ac:dyDescent="0.25">
      <c r="A460" s="25">
        <f>A447+10</f>
        <v>17</v>
      </c>
      <c r="B460" s="24" t="str">
        <f ca="1">"#define MPU_NS_CONFIG_REG"&amp;A459&amp;"  "&amp;N(INDIRECT("CONFIG_NS!A"&amp;A460))</f>
        <v>#define MPU_NS_CONFIG_REG1  0</v>
      </c>
    </row>
    <row r="461" spans="1:2" x14ac:dyDescent="0.25">
      <c r="A461">
        <f>A460+1</f>
        <v>18</v>
      </c>
      <c r="B461" s="18" t="str">
        <f ca="1">"#define MPU_NS_ENABLE_REG"&amp;A459&amp;"  "&amp;N(INDIRECT("CONFIG_NS!A"&amp;A461))</f>
        <v>#define MPU_NS_ENABLE_REG1  1</v>
      </c>
    </row>
    <row r="462" spans="1:2" x14ac:dyDescent="0.25">
      <c r="A462">
        <f>A460+2</f>
        <v>19</v>
      </c>
      <c r="B462" s="18" t="str" cm="1">
        <f t="array" aca="1" ref="B462" ca="1">"#define MPU_NS_BASE_REG"&amp;A459&amp;"    0x"&amp;INDIRECT("CONFIG_NS!A"&amp;A462)</f>
        <v>#define MPU_NS_BASE_REG1    0x00000000</v>
      </c>
    </row>
    <row r="463" spans="1:2" x14ac:dyDescent="0.25">
      <c r="A463">
        <f>A460+3</f>
        <v>20</v>
      </c>
      <c r="B463" s="18" t="str">
        <f ca="1">"#define MPU_NS_END_REG"&amp;A459&amp;"     0x"&amp;DEC2HEX(HEX2DEC(INDIRECT("CONFIG_NS!A"&amp;A463))+1,8)</f>
        <v>#define MPU_NS_END_REG1     0x00000020</v>
      </c>
    </row>
    <row r="464" spans="1:2" x14ac:dyDescent="0.25">
      <c r="B464" s="18" t="str">
        <f>"#define MPU_NS_LIMIT_REG"&amp;A459&amp;"   (MPU_NS_END_REG"&amp;A459&amp;" - 1u)"</f>
        <v>#define MPU_NS_LIMIT_REG1   (MPU_NS_END_REG1 - 1u)</v>
      </c>
    </row>
    <row r="465" spans="1:2" x14ac:dyDescent="0.25">
      <c r="B465" s="18" t="s">
        <v>216</v>
      </c>
    </row>
    <row r="466" spans="1:2" x14ac:dyDescent="0.25">
      <c r="A466">
        <f>A460+4</f>
        <v>21</v>
      </c>
      <c r="B466" s="18" t="str" cm="1">
        <f t="array" aca="1" ref="B466" ca="1">"#define MPU_NS_PERM_REG"&amp;A459&amp;"    "&amp;INDIRECT("CONFIG_NS!A"&amp;A466)-1</f>
        <v>#define MPU_NS_PERM_REG1    0</v>
      </c>
    </row>
    <row r="467" spans="1:2" x14ac:dyDescent="0.25">
      <c r="A467">
        <f>A460+5</f>
        <v>22</v>
      </c>
      <c r="B467" s="18" t="str">
        <f ca="1">"#define MPU_NS_XN_REG"&amp;A459&amp;"      "&amp;N(INDIRECT("CONFIG_NS!A"&amp;A467))</f>
        <v>#define MPU_NS_XN_REG1      0</v>
      </c>
    </row>
    <row r="468" spans="1:2" x14ac:dyDescent="0.25">
      <c r="A468">
        <f>A460+6</f>
        <v>23</v>
      </c>
      <c r="B468" s="18" t="str">
        <f ca="1">"#define MPU_NS_PXN_REG"&amp;A459&amp;"     "&amp;N(INDIRECT("CONFIG_NS!A"&amp;A468))</f>
        <v>#define MPU_NS_PXN_REG1     0</v>
      </c>
    </row>
    <row r="469" spans="1:2" x14ac:dyDescent="0.25">
      <c r="A469">
        <f>A460+7</f>
        <v>24</v>
      </c>
      <c r="B469" s="18" t="str" cm="1">
        <f t="array" aca="1" ref="B469" ca="1">"#define MPU_NS_SHARE_REG"&amp;A459&amp;"   "&amp;(INDIRECT("CONFIG_NS!A"&amp;A469)-1)</f>
        <v>#define MPU_NS_SHARE_REG1   0</v>
      </c>
    </row>
    <row r="470" spans="1:2" x14ac:dyDescent="0.25">
      <c r="A470">
        <f>A460+8</f>
        <v>25</v>
      </c>
      <c r="B470" s="18" t="str" cm="1">
        <f t="array" aca="1" ref="B470" ca="1">"#define MPU_NS_ATTRIND"&amp;A459&amp;"     "&amp;INDIRECT("CONFIG_NS!A"&amp;A470)-1</f>
        <v>#define MPU_NS_ATTRIND1     0</v>
      </c>
    </row>
    <row r="471" spans="1:2" x14ac:dyDescent="0.25">
      <c r="B471" s="18" t="s">
        <v>138</v>
      </c>
    </row>
    <row r="472" spans="1:2" x14ac:dyDescent="0.25">
      <c r="A472" s="25">
        <f>A459+1</f>
        <v>2</v>
      </c>
      <c r="B472" s="18" t="str">
        <f>"// MPU_NS Region "&amp;A472&amp;" ********************************"</f>
        <v>// MPU_NS Region 2 ********************************</v>
      </c>
    </row>
    <row r="473" spans="1:2" x14ac:dyDescent="0.25">
      <c r="A473" s="25">
        <f>A460+10</f>
        <v>27</v>
      </c>
      <c r="B473" s="24" t="str">
        <f ca="1">"#define MPU_NS_CONFIG_REG"&amp;A472&amp;"  "&amp;N(INDIRECT("CONFIG_NS!A"&amp;A473))</f>
        <v>#define MPU_NS_CONFIG_REG2  0</v>
      </c>
    </row>
    <row r="474" spans="1:2" x14ac:dyDescent="0.25">
      <c r="A474">
        <f>A473+1</f>
        <v>28</v>
      </c>
      <c r="B474" s="18" t="str">
        <f ca="1">"#define MPU_NS_ENABLE_REG"&amp;A472&amp;"  "&amp;N(INDIRECT("CONFIG_NS!A"&amp;A474))</f>
        <v>#define MPU_NS_ENABLE_REG2  1</v>
      </c>
    </row>
    <row r="475" spans="1:2" x14ac:dyDescent="0.25">
      <c r="A475">
        <f>A473+2</f>
        <v>29</v>
      </c>
      <c r="B475" s="18" t="str" cm="1">
        <f t="array" aca="1" ref="B475" ca="1">"#define MPU_NS_BASE_REG"&amp;A472&amp;"    0x"&amp;INDIRECT("CONFIG_NS!A"&amp;A475)</f>
        <v>#define MPU_NS_BASE_REG2    0x00000000</v>
      </c>
    </row>
    <row r="476" spans="1:2" x14ac:dyDescent="0.25">
      <c r="A476">
        <f>A473+3</f>
        <v>30</v>
      </c>
      <c r="B476" s="18" t="str">
        <f ca="1">"#define MPU_NS_END_REG"&amp;A472&amp;"     0x"&amp;DEC2HEX(HEX2DEC(INDIRECT("CONFIG_NS!A"&amp;A476))+1,8)</f>
        <v>#define MPU_NS_END_REG2     0x00000020</v>
      </c>
    </row>
    <row r="477" spans="1:2" x14ac:dyDescent="0.25">
      <c r="B477" s="18" t="str">
        <f>"#define MPU_NS_LIMIT_REG"&amp;A472&amp;"   (MPU_NS_END_REG"&amp;A472&amp;" - 1u)"</f>
        <v>#define MPU_NS_LIMIT_REG2   (MPU_NS_END_REG2 - 1u)</v>
      </c>
    </row>
    <row r="478" spans="1:2" x14ac:dyDescent="0.25">
      <c r="B478" s="18" t="s">
        <v>216</v>
      </c>
    </row>
    <row r="479" spans="1:2" x14ac:dyDescent="0.25">
      <c r="A479">
        <f>A473+4</f>
        <v>31</v>
      </c>
      <c r="B479" s="18" t="str" cm="1">
        <f t="array" aca="1" ref="B479" ca="1">"#define MPU_NS_PERM_REG"&amp;A472&amp;"    "&amp;INDIRECT("CONFIG_NS!A"&amp;A479)-1</f>
        <v>#define MPU_NS_PERM_REG2    0</v>
      </c>
    </row>
    <row r="480" spans="1:2" x14ac:dyDescent="0.25">
      <c r="A480">
        <f>A473+5</f>
        <v>32</v>
      </c>
      <c r="B480" s="18" t="str">
        <f ca="1">"#define MPU_NS_XN_REG"&amp;A472&amp;"      "&amp;N(INDIRECT("CONFIG_NS!A"&amp;A480))</f>
        <v>#define MPU_NS_XN_REG2      0</v>
      </c>
    </row>
    <row r="481" spans="1:2" x14ac:dyDescent="0.25">
      <c r="A481">
        <f>A473+6</f>
        <v>33</v>
      </c>
      <c r="B481" s="18" t="str">
        <f ca="1">"#define MPU_NS_PXN_REG"&amp;A472&amp;"     "&amp;N(INDIRECT("CONFIG_NS!A"&amp;A481))</f>
        <v>#define MPU_NS_PXN_REG2     0</v>
      </c>
    </row>
    <row r="482" spans="1:2" x14ac:dyDescent="0.25">
      <c r="A482">
        <f>A473+7</f>
        <v>34</v>
      </c>
      <c r="B482" s="18" t="str" cm="1">
        <f t="array" aca="1" ref="B482" ca="1">"#define MPU_NS_SHARE_REG"&amp;A472&amp;"   "&amp;(INDIRECT("CONFIG_NS!A"&amp;A482)-1)</f>
        <v>#define MPU_NS_SHARE_REG2   1</v>
      </c>
    </row>
    <row r="483" spans="1:2" x14ac:dyDescent="0.25">
      <c r="A483">
        <f>A473+8</f>
        <v>35</v>
      </c>
      <c r="B483" s="18" t="str" cm="1">
        <f t="array" aca="1" ref="B483" ca="1">"#define MPU_NS_ATTRIND"&amp;A472&amp;"     "&amp;INDIRECT("CONFIG_NS!A"&amp;A483)-1</f>
        <v>#define MPU_NS_ATTRIND2     0</v>
      </c>
    </row>
    <row r="484" spans="1:2" x14ac:dyDescent="0.25">
      <c r="B484" s="18" t="s">
        <v>138</v>
      </c>
    </row>
    <row r="485" spans="1:2" x14ac:dyDescent="0.25">
      <c r="A485" s="25">
        <f>A472+1</f>
        <v>3</v>
      </c>
      <c r="B485" s="18" t="str">
        <f>"// MPU_NS Region "&amp;A485&amp;" ********************************"</f>
        <v>// MPU_NS Region 3 ********************************</v>
      </c>
    </row>
    <row r="486" spans="1:2" x14ac:dyDescent="0.25">
      <c r="A486" s="25">
        <f>A473+10</f>
        <v>37</v>
      </c>
      <c r="B486" s="24" t="str">
        <f ca="1">"#define MPU_NS_CONFIG_REG"&amp;A485&amp;"  "&amp;N(INDIRECT("CONFIG_NS!A"&amp;A486))</f>
        <v>#define MPU_NS_CONFIG_REG3  0</v>
      </c>
    </row>
    <row r="487" spans="1:2" x14ac:dyDescent="0.25">
      <c r="A487">
        <f>A486+1</f>
        <v>38</v>
      </c>
      <c r="B487" s="18" t="str">
        <f ca="1">"#define MPU_NS_ENABLE_REG"&amp;A485&amp;"  "&amp;N(INDIRECT("CONFIG_NS!A"&amp;A487))</f>
        <v>#define MPU_NS_ENABLE_REG3  1</v>
      </c>
    </row>
    <row r="488" spans="1:2" x14ac:dyDescent="0.25">
      <c r="A488">
        <f>A486+2</f>
        <v>39</v>
      </c>
      <c r="B488" s="18" t="str" cm="1">
        <f t="array" aca="1" ref="B488" ca="1">"#define MPU_NS_BASE_REG"&amp;A485&amp;"    0x"&amp;INDIRECT("CONFIG_NS!A"&amp;A488)</f>
        <v>#define MPU_NS_BASE_REG3    0x00000000</v>
      </c>
    </row>
    <row r="489" spans="1:2" x14ac:dyDescent="0.25">
      <c r="A489">
        <f>A486+3</f>
        <v>40</v>
      </c>
      <c r="B489" s="18" t="str">
        <f ca="1">"#define MPU_NS_END_REG"&amp;A485&amp;"     0x"&amp;DEC2HEX(HEX2DEC(INDIRECT("CONFIG_NS!A"&amp;A489))+1,8)</f>
        <v>#define MPU_NS_END_REG3     0x00000020</v>
      </c>
    </row>
    <row r="490" spans="1:2" x14ac:dyDescent="0.25">
      <c r="B490" s="18" t="str">
        <f>"#define MPU_NS_LIMIT_REG"&amp;A485&amp;"   (MPU_NS_END_REG"&amp;A485&amp;" - 1u)"</f>
        <v>#define MPU_NS_LIMIT_REG3   (MPU_NS_END_REG3 - 1u)</v>
      </c>
    </row>
    <row r="491" spans="1:2" x14ac:dyDescent="0.25">
      <c r="B491" s="18" t="s">
        <v>216</v>
      </c>
    </row>
    <row r="492" spans="1:2" x14ac:dyDescent="0.25">
      <c r="A492">
        <f>A486+4</f>
        <v>41</v>
      </c>
      <c r="B492" s="18" t="str" cm="1">
        <f t="array" aca="1" ref="B492" ca="1">"#define MPU_NS_PERM_REG"&amp;A485&amp;"    "&amp;INDIRECT("CONFIG_NS!A"&amp;A492)-1</f>
        <v>#define MPU_NS_PERM_REG3    0</v>
      </c>
    </row>
    <row r="493" spans="1:2" x14ac:dyDescent="0.25">
      <c r="A493">
        <f>A486+5</f>
        <v>42</v>
      </c>
      <c r="B493" s="18" t="str">
        <f ca="1">"#define MPU_NS_XN_REG"&amp;A485&amp;"      "&amp;N(INDIRECT("CONFIG_NS!A"&amp;A493))</f>
        <v>#define MPU_NS_XN_REG3      0</v>
      </c>
    </row>
    <row r="494" spans="1:2" x14ac:dyDescent="0.25">
      <c r="A494">
        <f>A486+6</f>
        <v>43</v>
      </c>
      <c r="B494" s="18" t="str">
        <f ca="1">"#define MPU_NS_PXN_REG"&amp;A485&amp;"     "&amp;N(INDIRECT("CONFIG_NS!A"&amp;A494))</f>
        <v>#define MPU_NS_PXN_REG3     0</v>
      </c>
    </row>
    <row r="495" spans="1:2" x14ac:dyDescent="0.25">
      <c r="A495">
        <f>A486+7</f>
        <v>44</v>
      </c>
      <c r="B495" s="18" t="str" cm="1">
        <f t="array" aca="1" ref="B495" ca="1">"#define MPU_NS_SHARE_REG"&amp;A485&amp;"   "&amp;(INDIRECT("CONFIG_NS!A"&amp;A495)-1)</f>
        <v>#define MPU_NS_SHARE_REG3   0</v>
      </c>
    </row>
    <row r="496" spans="1:2" x14ac:dyDescent="0.25">
      <c r="A496">
        <f>A486+8</f>
        <v>45</v>
      </c>
      <c r="B496" s="18" t="str" cm="1">
        <f t="array" aca="1" ref="B496" ca="1">"#define MPU_NS_ATTRIND"&amp;A485&amp;"     "&amp;INDIRECT("CONFIG_NS!A"&amp;A496)-1</f>
        <v>#define MPU_NS_ATTRIND3     0</v>
      </c>
    </row>
    <row r="497" spans="1:2" x14ac:dyDescent="0.25">
      <c r="B497" s="18" t="s">
        <v>138</v>
      </c>
    </row>
    <row r="498" spans="1:2" x14ac:dyDescent="0.25">
      <c r="A498" s="25">
        <f>A485+1</f>
        <v>4</v>
      </c>
      <c r="B498" s="18" t="str">
        <f>"// MPU_NS Region "&amp;A498&amp;" ********************************"</f>
        <v>// MPU_NS Region 4 ********************************</v>
      </c>
    </row>
    <row r="499" spans="1:2" x14ac:dyDescent="0.25">
      <c r="A499" s="25">
        <f>A486+10</f>
        <v>47</v>
      </c>
      <c r="B499" s="24" t="str">
        <f ca="1">"#define MPU_NS_CONFIG_REG"&amp;A498&amp;"  "&amp;N(INDIRECT("CONFIG_NS!A"&amp;A499))</f>
        <v>#define MPU_NS_CONFIG_REG4  0</v>
      </c>
    </row>
    <row r="500" spans="1:2" x14ac:dyDescent="0.25">
      <c r="A500">
        <f>A499+1</f>
        <v>48</v>
      </c>
      <c r="B500" s="18" t="str">
        <f ca="1">"#define MPU_NS_ENABLE_REG"&amp;A498&amp;"  "&amp;N(INDIRECT("CONFIG_NS!A"&amp;A500))</f>
        <v>#define MPU_NS_ENABLE_REG4  1</v>
      </c>
    </row>
    <row r="501" spans="1:2" x14ac:dyDescent="0.25">
      <c r="A501">
        <f>A499+2</f>
        <v>49</v>
      </c>
      <c r="B501" s="18" t="str" cm="1">
        <f t="array" aca="1" ref="B501" ca="1">"#define MPU_NS_BASE_REG"&amp;A498&amp;"    0x"&amp;INDIRECT("CONFIG_NS!A"&amp;A501)</f>
        <v>#define MPU_NS_BASE_REG4    0x00000000</v>
      </c>
    </row>
    <row r="502" spans="1:2" x14ac:dyDescent="0.25">
      <c r="A502">
        <f>A499+3</f>
        <v>50</v>
      </c>
      <c r="B502" s="18" t="str">
        <f ca="1">"#define MPU_NS_END_REG"&amp;A498&amp;"     0x"&amp;DEC2HEX(HEX2DEC(INDIRECT("CONFIG_NS!A"&amp;A502))+1,8)</f>
        <v>#define MPU_NS_END_REG4     0x00000020</v>
      </c>
    </row>
    <row r="503" spans="1:2" x14ac:dyDescent="0.25">
      <c r="B503" s="18" t="str">
        <f>"#define MPU_NS_LIMIT_REG"&amp;A498&amp;"   (MPU_NS_END_REG"&amp;A498&amp;" - 1u)"</f>
        <v>#define MPU_NS_LIMIT_REG4   (MPU_NS_END_REG4 - 1u)</v>
      </c>
    </row>
    <row r="504" spans="1:2" x14ac:dyDescent="0.25">
      <c r="B504" s="18" t="s">
        <v>216</v>
      </c>
    </row>
    <row r="505" spans="1:2" x14ac:dyDescent="0.25">
      <c r="A505">
        <f>A499+4</f>
        <v>51</v>
      </c>
      <c r="B505" s="18" t="str" cm="1">
        <f t="array" aca="1" ref="B505" ca="1">"#define MPU_NS_PERM_REG"&amp;A498&amp;"    "&amp;INDIRECT("CONFIG_NS!A"&amp;A505)-1</f>
        <v>#define MPU_NS_PERM_REG4    0</v>
      </c>
    </row>
    <row r="506" spans="1:2" x14ac:dyDescent="0.25">
      <c r="A506">
        <f>A499+5</f>
        <v>52</v>
      </c>
      <c r="B506" s="18" t="str">
        <f ca="1">"#define MPU_NS_XN_REG"&amp;A498&amp;"      "&amp;N(INDIRECT("CONFIG_NS!A"&amp;A506))</f>
        <v>#define MPU_NS_XN_REG4      0</v>
      </c>
    </row>
    <row r="507" spans="1:2" x14ac:dyDescent="0.25">
      <c r="A507">
        <f>A499+6</f>
        <v>53</v>
      </c>
      <c r="B507" s="18" t="str">
        <f ca="1">"#define MPU_NS_PXN_REG"&amp;A498&amp;"     "&amp;N(INDIRECT("CONFIG_NS!A"&amp;A507))</f>
        <v>#define MPU_NS_PXN_REG4     0</v>
      </c>
    </row>
    <row r="508" spans="1:2" x14ac:dyDescent="0.25">
      <c r="A508">
        <f>A499+7</f>
        <v>54</v>
      </c>
      <c r="B508" s="18" t="str" cm="1">
        <f t="array" aca="1" ref="B508" ca="1">"#define MPU_NS_SHARE_REG"&amp;A498&amp;"   "&amp;(INDIRECT("CONFIG_NS!A"&amp;A508)-1)</f>
        <v>#define MPU_NS_SHARE_REG4   0</v>
      </c>
    </row>
    <row r="509" spans="1:2" x14ac:dyDescent="0.25">
      <c r="A509">
        <f>A499+8</f>
        <v>55</v>
      </c>
      <c r="B509" s="18" t="str" cm="1">
        <f t="array" aca="1" ref="B509" ca="1">"#define MPU_NS_ATTRIND"&amp;A498&amp;"     "&amp;INDIRECT("CONFIG_NS!A"&amp;A509)-1</f>
        <v>#define MPU_NS_ATTRIND4     0</v>
      </c>
    </row>
    <row r="510" spans="1:2" x14ac:dyDescent="0.25">
      <c r="B510" s="18" t="s">
        <v>138</v>
      </c>
    </row>
    <row r="511" spans="1:2" x14ac:dyDescent="0.25">
      <c r="A511" s="25">
        <f>A498+1</f>
        <v>5</v>
      </c>
      <c r="B511" s="18" t="str">
        <f>"// MPU_NS Region "&amp;A511&amp;" ********************************"</f>
        <v>// MPU_NS Region 5 ********************************</v>
      </c>
    </row>
    <row r="512" spans="1:2" x14ac:dyDescent="0.25">
      <c r="A512" s="25">
        <f>A499+10</f>
        <v>57</v>
      </c>
      <c r="B512" s="24" t="str">
        <f ca="1">"#define MPU_NS_CONFIG_REG"&amp;A511&amp;"  "&amp;N(INDIRECT("CONFIG_NS!A"&amp;A512))</f>
        <v>#define MPU_NS_CONFIG_REG5  0</v>
      </c>
    </row>
    <row r="513" spans="1:2" x14ac:dyDescent="0.25">
      <c r="A513">
        <f>A512+1</f>
        <v>58</v>
      </c>
      <c r="B513" s="18" t="str">
        <f ca="1">"#define MPU_NS_ENABLE_REG"&amp;A511&amp;"  "&amp;N(INDIRECT("CONFIG_NS!A"&amp;A513))</f>
        <v>#define MPU_NS_ENABLE_REG5  1</v>
      </c>
    </row>
    <row r="514" spans="1:2" x14ac:dyDescent="0.25">
      <c r="A514">
        <f>A512+2</f>
        <v>59</v>
      </c>
      <c r="B514" s="18" t="str" cm="1">
        <f t="array" aca="1" ref="B514" ca="1">"#define MPU_NS_BASE_REG"&amp;A511&amp;"    0x"&amp;INDIRECT("CONFIG_NS!A"&amp;A514)</f>
        <v>#define MPU_NS_BASE_REG5    0x00000000</v>
      </c>
    </row>
    <row r="515" spans="1:2" x14ac:dyDescent="0.25">
      <c r="A515">
        <f>A512+3</f>
        <v>60</v>
      </c>
      <c r="B515" s="18" t="str">
        <f ca="1">"#define MPU_NS_END_REG"&amp;A511&amp;"     0x"&amp;DEC2HEX(HEX2DEC(INDIRECT("CONFIG_NS!A"&amp;A515))+1,8)</f>
        <v>#define MPU_NS_END_REG5     0x00000020</v>
      </c>
    </row>
    <row r="516" spans="1:2" x14ac:dyDescent="0.25">
      <c r="B516" s="18" t="str">
        <f>"#define MPU_NS_LIMIT_REG"&amp;A511&amp;"   (MPU_NS_END_REG"&amp;A511&amp;" - 1u)"</f>
        <v>#define MPU_NS_LIMIT_REG5   (MPU_NS_END_REG5 - 1u)</v>
      </c>
    </row>
    <row r="517" spans="1:2" x14ac:dyDescent="0.25">
      <c r="B517" s="18" t="s">
        <v>216</v>
      </c>
    </row>
    <row r="518" spans="1:2" x14ac:dyDescent="0.25">
      <c r="A518">
        <f>A512+4</f>
        <v>61</v>
      </c>
      <c r="B518" s="18" t="str" cm="1">
        <f t="array" aca="1" ref="B518" ca="1">"#define MPU_NS_PERM_REG"&amp;A511&amp;"    "&amp;INDIRECT("CONFIG_NS!A"&amp;A518)-1</f>
        <v>#define MPU_NS_PERM_REG5    0</v>
      </c>
    </row>
    <row r="519" spans="1:2" x14ac:dyDescent="0.25">
      <c r="A519">
        <f>A512+5</f>
        <v>62</v>
      </c>
      <c r="B519" s="18" t="str">
        <f ca="1">"#define MPU_NS_XN_REG"&amp;A511&amp;"      "&amp;N(INDIRECT("CONFIG_NS!A"&amp;A519))</f>
        <v>#define MPU_NS_XN_REG5      0</v>
      </c>
    </row>
    <row r="520" spans="1:2" x14ac:dyDescent="0.25">
      <c r="A520">
        <f>A512+6</f>
        <v>63</v>
      </c>
      <c r="B520" s="18" t="str">
        <f ca="1">"#define MPU_NS_PXN_REG"&amp;A511&amp;"     "&amp;N(INDIRECT("CONFIG_NS!A"&amp;A520))</f>
        <v>#define MPU_NS_PXN_REG5     0</v>
      </c>
    </row>
    <row r="521" spans="1:2" x14ac:dyDescent="0.25">
      <c r="A521">
        <f>A512+7</f>
        <v>64</v>
      </c>
      <c r="B521" s="18" t="str" cm="1">
        <f t="array" aca="1" ref="B521" ca="1">"#define MPU_NS_SHARE_REG"&amp;A511&amp;"   "&amp;(INDIRECT("CONFIG_NS!A"&amp;A521)-1)</f>
        <v>#define MPU_NS_SHARE_REG5   1</v>
      </c>
    </row>
    <row r="522" spans="1:2" x14ac:dyDescent="0.25">
      <c r="A522">
        <f>A512+8</f>
        <v>65</v>
      </c>
      <c r="B522" s="18" t="str" cm="1">
        <f t="array" aca="1" ref="B522" ca="1">"#define MPU_NS_ATTRIND"&amp;A511&amp;"     "&amp;INDIRECT("CONFIG_NS!A"&amp;A522)-1</f>
        <v>#define MPU_NS_ATTRIND5     7</v>
      </c>
    </row>
    <row r="523" spans="1:2" x14ac:dyDescent="0.25">
      <c r="B523" s="18" t="s">
        <v>138</v>
      </c>
    </row>
    <row r="524" spans="1:2" x14ac:dyDescent="0.25">
      <c r="A524" s="25">
        <f>A511+1</f>
        <v>6</v>
      </c>
      <c r="B524" s="18" t="str">
        <f>"// MPU_NS Region "&amp;A524&amp;" ********************************"</f>
        <v>// MPU_NS Region 6 ********************************</v>
      </c>
    </row>
    <row r="525" spans="1:2" x14ac:dyDescent="0.25">
      <c r="A525" s="25">
        <f>A512+10</f>
        <v>67</v>
      </c>
      <c r="B525" s="24" t="str">
        <f ca="1">"#define MPU_NS_CONFIG_REG"&amp;A524&amp;"  "&amp;N(INDIRECT("CONFIG_NS!A"&amp;A525))</f>
        <v>#define MPU_NS_CONFIG_REG6  0</v>
      </c>
    </row>
    <row r="526" spans="1:2" x14ac:dyDescent="0.25">
      <c r="A526">
        <f>A525+1</f>
        <v>68</v>
      </c>
      <c r="B526" s="18" t="str">
        <f ca="1">"#define MPU_NS_ENABLE_REG"&amp;A524&amp;"  "&amp;N(INDIRECT("CONFIG_NS!A"&amp;A526))</f>
        <v>#define MPU_NS_ENABLE_REG6  1</v>
      </c>
    </row>
    <row r="527" spans="1:2" x14ac:dyDescent="0.25">
      <c r="A527">
        <f>A525+2</f>
        <v>69</v>
      </c>
      <c r="B527" s="18" t="str" cm="1">
        <f t="array" aca="1" ref="B527" ca="1">"#define MPU_NS_BASE_REG"&amp;A524&amp;"    0x"&amp;INDIRECT("CONFIG_NS!A"&amp;A527)</f>
        <v>#define MPU_NS_BASE_REG6    0x00000000</v>
      </c>
    </row>
    <row r="528" spans="1:2" x14ac:dyDescent="0.25">
      <c r="A528">
        <f>A525+3</f>
        <v>70</v>
      </c>
      <c r="B528" s="18" t="str">
        <f ca="1">"#define MPU_NS_END_REG"&amp;A524&amp;"     0x"&amp;DEC2HEX(HEX2DEC(INDIRECT("CONFIG_NS!A"&amp;A528))+1,8)</f>
        <v>#define MPU_NS_END_REG6     0x00000040</v>
      </c>
    </row>
    <row r="529" spans="1:2" x14ac:dyDescent="0.25">
      <c r="B529" s="18" t="str">
        <f>"#define MPU_NS_LIMIT_REG"&amp;A524&amp;"   (MPU_NS_END_REG"&amp;A524&amp;" - 1u)"</f>
        <v>#define MPU_NS_LIMIT_REG6   (MPU_NS_END_REG6 - 1u)</v>
      </c>
    </row>
    <row r="530" spans="1:2" x14ac:dyDescent="0.25">
      <c r="B530" s="18" t="s">
        <v>216</v>
      </c>
    </row>
    <row r="531" spans="1:2" x14ac:dyDescent="0.25">
      <c r="A531">
        <f>A525+4</f>
        <v>71</v>
      </c>
      <c r="B531" s="18" t="str" cm="1">
        <f t="array" aca="1" ref="B531" ca="1">"#define MPU_NS_PERM_REG"&amp;A524&amp;"    "&amp;INDIRECT("CONFIG_NS!A"&amp;A531)-1</f>
        <v>#define MPU_NS_PERM_REG6    0</v>
      </c>
    </row>
    <row r="532" spans="1:2" x14ac:dyDescent="0.25">
      <c r="A532">
        <f>A525+5</f>
        <v>72</v>
      </c>
      <c r="B532" s="18" t="str">
        <f ca="1">"#define MPU_NS_XN_REG"&amp;A524&amp;"      "&amp;N(INDIRECT("CONFIG_NS!A"&amp;A532))</f>
        <v>#define MPU_NS_XN_REG6      0</v>
      </c>
    </row>
    <row r="533" spans="1:2" x14ac:dyDescent="0.25">
      <c r="A533">
        <f>A525+6</f>
        <v>73</v>
      </c>
      <c r="B533" s="18" t="str">
        <f ca="1">"#define MPU_NS_PXN_REG"&amp;A524&amp;"     "&amp;N(INDIRECT("CONFIG_NS!A"&amp;A533))</f>
        <v>#define MPU_NS_PXN_REG6     0</v>
      </c>
    </row>
    <row r="534" spans="1:2" x14ac:dyDescent="0.25">
      <c r="A534">
        <f>A525+7</f>
        <v>74</v>
      </c>
      <c r="B534" s="18" t="str" cm="1">
        <f t="array" aca="1" ref="B534" ca="1">"#define MPU_NS_SHARE_REG"&amp;A524&amp;"   "&amp;(INDIRECT("CONFIG_NS!A"&amp;A534)-1)</f>
        <v>#define MPU_NS_SHARE_REG6   0</v>
      </c>
    </row>
    <row r="535" spans="1:2" x14ac:dyDescent="0.25">
      <c r="A535">
        <f>A525+8</f>
        <v>75</v>
      </c>
      <c r="B535" s="18" t="str" cm="1">
        <f t="array" aca="1" ref="B535" ca="1">"#define MPU_NS_ATTRIND"&amp;A524&amp;"     "&amp;INDIRECT("CONFIG_NS!A"&amp;A535)-1</f>
        <v>#define MPU_NS_ATTRIND6     0</v>
      </c>
    </row>
    <row r="536" spans="1:2" x14ac:dyDescent="0.25">
      <c r="B536" s="18" t="s">
        <v>138</v>
      </c>
    </row>
    <row r="537" spans="1:2" x14ac:dyDescent="0.25">
      <c r="A537" s="25">
        <f>A524+1</f>
        <v>7</v>
      </c>
      <c r="B537" s="18" t="str">
        <f>"// MPU_NS Region "&amp;A537&amp;" ********************************"</f>
        <v>// MPU_NS Region 7 ********************************</v>
      </c>
    </row>
    <row r="538" spans="1:2" x14ac:dyDescent="0.25">
      <c r="A538" s="25">
        <f>A525+10</f>
        <v>77</v>
      </c>
      <c r="B538" s="24" t="str">
        <f ca="1">"#define MPU_NS_CONFIG_REG"&amp;A537&amp;"  "&amp;N(INDIRECT("CONFIG_NS!A"&amp;A538))</f>
        <v>#define MPU_NS_CONFIG_REG7  0</v>
      </c>
    </row>
    <row r="539" spans="1:2" x14ac:dyDescent="0.25">
      <c r="A539">
        <f>A538+1</f>
        <v>78</v>
      </c>
      <c r="B539" s="18" t="str">
        <f ca="1">"#define MPU_NS_ENABLE_REG"&amp;A537&amp;"  "&amp;N(INDIRECT("CONFIG_NS!A"&amp;A539))</f>
        <v>#define MPU_NS_ENABLE_REG7  1</v>
      </c>
    </row>
    <row r="540" spans="1:2" x14ac:dyDescent="0.25">
      <c r="A540">
        <f>A538+2</f>
        <v>79</v>
      </c>
      <c r="B540" s="18" t="str" cm="1">
        <f t="array" aca="1" ref="B540" ca="1">"#define MPU_NS_BASE_REG"&amp;A537&amp;"    0x"&amp;INDIRECT("CONFIG_NS!A"&amp;A540)</f>
        <v>#define MPU_NS_BASE_REG7    0x00000000</v>
      </c>
    </row>
    <row r="541" spans="1:2" x14ac:dyDescent="0.25">
      <c r="A541">
        <f>A538+3</f>
        <v>80</v>
      </c>
      <c r="B541" s="18" t="str">
        <f ca="1">"#define MPU_NS_END_REG"&amp;A537&amp;"     0x"&amp;DEC2HEX(HEX2DEC(INDIRECT("CONFIG_NS!A"&amp;A541))+1,8)</f>
        <v>#define MPU_NS_END_REG7     0x00000020</v>
      </c>
    </row>
    <row r="542" spans="1:2" x14ac:dyDescent="0.25">
      <c r="B542" s="18" t="str">
        <f>"#define MPU_NS_LIMIT_REG"&amp;A537&amp;"   (MPU_NS_END_REG"&amp;A537&amp;" - 1u)"</f>
        <v>#define MPU_NS_LIMIT_REG7   (MPU_NS_END_REG7 - 1u)</v>
      </c>
    </row>
    <row r="543" spans="1:2" x14ac:dyDescent="0.25">
      <c r="B543" s="18" t="s">
        <v>216</v>
      </c>
    </row>
    <row r="544" spans="1:2" x14ac:dyDescent="0.25">
      <c r="A544">
        <f>A538+4</f>
        <v>81</v>
      </c>
      <c r="B544" s="18" t="str" cm="1">
        <f t="array" aca="1" ref="B544" ca="1">"#define MPU_NS_PERM_REG"&amp;A537&amp;"    "&amp;INDIRECT("CONFIG_NS!A"&amp;A544)-1</f>
        <v>#define MPU_NS_PERM_REG7    0</v>
      </c>
    </row>
    <row r="545" spans="1:2" x14ac:dyDescent="0.25">
      <c r="A545">
        <f>A538+5</f>
        <v>82</v>
      </c>
      <c r="B545" s="18" t="str">
        <f ca="1">"#define MPU_NS_XN_REG"&amp;A537&amp;"      "&amp;N(INDIRECT("CONFIG_NS!A"&amp;A545))</f>
        <v>#define MPU_NS_XN_REG7      0</v>
      </c>
    </row>
    <row r="546" spans="1:2" x14ac:dyDescent="0.25">
      <c r="A546">
        <f>A538+6</f>
        <v>83</v>
      </c>
      <c r="B546" s="18" t="str">
        <f ca="1">"#define MPU_NS_PXN_REG"&amp;A537&amp;"     "&amp;N(INDIRECT("CONFIG_NS!A"&amp;A546))</f>
        <v>#define MPU_NS_PXN_REG7     0</v>
      </c>
    </row>
    <row r="547" spans="1:2" x14ac:dyDescent="0.25">
      <c r="A547">
        <f>A538+7</f>
        <v>84</v>
      </c>
      <c r="B547" s="18" t="str" cm="1">
        <f t="array" aca="1" ref="B547" ca="1">"#define MPU_NS_SHARE_REG"&amp;A537&amp;"   "&amp;(INDIRECT("CONFIG_NS!A"&amp;A547)-1)</f>
        <v>#define MPU_NS_SHARE_REG7   0</v>
      </c>
    </row>
    <row r="548" spans="1:2" x14ac:dyDescent="0.25">
      <c r="A548">
        <f>A538+8</f>
        <v>85</v>
      </c>
      <c r="B548" s="18" t="str" cm="1">
        <f t="array" aca="1" ref="B548" ca="1">"#define MPU_NS_ATTRIND"&amp;A537&amp;"     "&amp;INDIRECT("CONFIG_NS!A"&amp;A548)-1</f>
        <v>#define MPU_NS_ATTRIND7     0</v>
      </c>
    </row>
    <row r="549" spans="1:2" x14ac:dyDescent="0.25">
      <c r="B549" s="18" t="s">
        <v>138</v>
      </c>
    </row>
    <row r="550" spans="1:2" x14ac:dyDescent="0.25">
      <c r="A550" s="25">
        <f>A537+1</f>
        <v>8</v>
      </c>
      <c r="B550" s="18" t="str">
        <f>"// MPU_NS Region "&amp;A550&amp;" ********************************"</f>
        <v>// MPU_NS Region 8 ********************************</v>
      </c>
    </row>
    <row r="551" spans="1:2" x14ac:dyDescent="0.25">
      <c r="A551" s="25">
        <f>A538+10</f>
        <v>87</v>
      </c>
      <c r="B551" s="24" t="str">
        <f ca="1">"#define MPU_NS_CONFIG_REG"&amp;A550&amp;"  "&amp;N(INDIRECT("CONFIG_NS!A"&amp;A551))</f>
        <v>#define MPU_NS_CONFIG_REG8  0</v>
      </c>
    </row>
    <row r="552" spans="1:2" x14ac:dyDescent="0.25">
      <c r="A552">
        <f>A551+1</f>
        <v>88</v>
      </c>
      <c r="B552" s="18" t="str">
        <f ca="1">"#define MPU_NS_ENABLE_REG"&amp;A550&amp;"  "&amp;N(INDIRECT("CONFIG_NS!A"&amp;A552))</f>
        <v>#define MPU_NS_ENABLE_REG8  1</v>
      </c>
    </row>
    <row r="553" spans="1:2" x14ac:dyDescent="0.25">
      <c r="A553">
        <f>A551+2</f>
        <v>89</v>
      </c>
      <c r="B553" s="18" t="str" cm="1">
        <f t="array" aca="1" ref="B553" ca="1">"#define MPU_NS_BASE_REG"&amp;A550&amp;"    0x"&amp;INDIRECT("CONFIG_NS!A"&amp;A553)</f>
        <v>#define MPU_NS_BASE_REG8    0x00000000</v>
      </c>
    </row>
    <row r="554" spans="1:2" x14ac:dyDescent="0.25">
      <c r="A554">
        <f>A551+3</f>
        <v>90</v>
      </c>
      <c r="B554" s="18" t="str">
        <f ca="1">"#define MPU_NS_END_REG"&amp;A550&amp;"     0x"&amp;DEC2HEX(HEX2DEC(INDIRECT("CONFIG_NS!A"&amp;A554))+1,8)</f>
        <v>#define MPU_NS_END_REG8     0x00000020</v>
      </c>
    </row>
    <row r="555" spans="1:2" x14ac:dyDescent="0.25">
      <c r="B555" s="18" t="str">
        <f>"#define MPU_NS_LIMIT_REG"&amp;A550&amp;"   (MPU_NS_END_REG"&amp;A550&amp;" - 1u)"</f>
        <v>#define MPU_NS_LIMIT_REG8   (MPU_NS_END_REG8 - 1u)</v>
      </c>
    </row>
    <row r="556" spans="1:2" x14ac:dyDescent="0.25">
      <c r="B556" s="18" t="s">
        <v>216</v>
      </c>
    </row>
    <row r="557" spans="1:2" x14ac:dyDescent="0.25">
      <c r="A557">
        <f>A551+4</f>
        <v>91</v>
      </c>
      <c r="B557" s="18" t="str" cm="1">
        <f t="array" aca="1" ref="B557" ca="1">"#define MPU_NS_PERM_REG"&amp;A550&amp;"    "&amp;INDIRECT("CONFIG_NS!A"&amp;A557)-1</f>
        <v>#define MPU_NS_PERM_REG8    1</v>
      </c>
    </row>
    <row r="558" spans="1:2" x14ac:dyDescent="0.25">
      <c r="A558">
        <f>A551+5</f>
        <v>92</v>
      </c>
      <c r="B558" s="18" t="str">
        <f ca="1">"#define MPU_NS_XN_REG"&amp;A550&amp;"      "&amp;N(INDIRECT("CONFIG_NS!A"&amp;A558))</f>
        <v>#define MPU_NS_XN_REG8      0</v>
      </c>
    </row>
    <row r="559" spans="1:2" x14ac:dyDescent="0.25">
      <c r="A559">
        <f>A551+6</f>
        <v>93</v>
      </c>
      <c r="B559" s="18" t="str">
        <f ca="1">"#define MPU_NS_PXN_REG"&amp;A550&amp;"     "&amp;N(INDIRECT("CONFIG_NS!A"&amp;A559))</f>
        <v>#define MPU_NS_PXN_REG8     0</v>
      </c>
    </row>
    <row r="560" spans="1:2" x14ac:dyDescent="0.25">
      <c r="A560">
        <f>A551+7</f>
        <v>94</v>
      </c>
      <c r="B560" s="18" t="str" cm="1">
        <f t="array" aca="1" ref="B560" ca="1">"#define MPU_NS_SHARE_REG"&amp;A550&amp;"   "&amp;(INDIRECT("CONFIG_NS!A"&amp;A560)-1)</f>
        <v>#define MPU_NS_SHARE_REG8   0</v>
      </c>
    </row>
    <row r="561" spans="1:2" x14ac:dyDescent="0.25">
      <c r="A561">
        <f>A551+8</f>
        <v>95</v>
      </c>
      <c r="B561" s="18" t="str" cm="1">
        <f t="array" aca="1" ref="B561" ca="1">"#define MPU_NS_ATTRIND"&amp;A550&amp;"     "&amp;INDIRECT("CONFIG_NS!A"&amp;A561)-1</f>
        <v>#define MPU_NS_ATTRIND8     0</v>
      </c>
    </row>
    <row r="562" spans="1:2" x14ac:dyDescent="0.25">
      <c r="B562" s="18" t="s">
        <v>138</v>
      </c>
    </row>
    <row r="563" spans="1:2" x14ac:dyDescent="0.25">
      <c r="A563" s="25">
        <f>A550+1</f>
        <v>9</v>
      </c>
      <c r="B563" s="18" t="str">
        <f>"// MPU_NS Region "&amp;A563&amp;" ********************************"</f>
        <v>// MPU_NS Region 9 ********************************</v>
      </c>
    </row>
    <row r="564" spans="1:2" x14ac:dyDescent="0.25">
      <c r="A564" s="25">
        <f>A551+10</f>
        <v>97</v>
      </c>
      <c r="B564" s="24" t="str">
        <f ca="1">"#define MPU_NS_CONFIG_REG"&amp;A563&amp;"  "&amp;N(INDIRECT("CONFIG_NS!A"&amp;A564))</f>
        <v>#define MPU_NS_CONFIG_REG9  0</v>
      </c>
    </row>
    <row r="565" spans="1:2" x14ac:dyDescent="0.25">
      <c r="A565">
        <f>A564+1</f>
        <v>98</v>
      </c>
      <c r="B565" s="18" t="str">
        <f ca="1">"#define MPU_NS_ENABLE_REG"&amp;A563&amp;"  "&amp;N(INDIRECT("CONFIG_NS!A"&amp;A565))</f>
        <v>#define MPU_NS_ENABLE_REG9  0</v>
      </c>
    </row>
    <row r="566" spans="1:2" x14ac:dyDescent="0.25">
      <c r="A566">
        <f>A564+2</f>
        <v>99</v>
      </c>
      <c r="B566" s="18" t="str" cm="1">
        <f t="array" aca="1" ref="B566" ca="1">"#define MPU_NS_BASE_REG"&amp;A563&amp;"    0x"&amp;INDIRECT("CONFIG_NS!A"&amp;A566)</f>
        <v>#define MPU_NS_BASE_REG9    0x00000000</v>
      </c>
    </row>
    <row r="567" spans="1:2" x14ac:dyDescent="0.25">
      <c r="A567">
        <f>A564+3</f>
        <v>100</v>
      </c>
      <c r="B567" s="18" t="str">
        <f ca="1">"#define MPU_NS_END_REG"&amp;A563&amp;"     0x"&amp;DEC2HEX(HEX2DEC(INDIRECT("CONFIG_NS!A"&amp;A567))+1,8)</f>
        <v>#define MPU_NS_END_REG9     0x00000020</v>
      </c>
    </row>
    <row r="568" spans="1:2" x14ac:dyDescent="0.25">
      <c r="B568" s="18" t="str">
        <f>"#define MPU_NS_LIMIT_REG"&amp;A563&amp;"   (MPU_NS_END_REG"&amp;A563&amp;" - 1u)"</f>
        <v>#define MPU_NS_LIMIT_REG9   (MPU_NS_END_REG9 - 1u)</v>
      </c>
    </row>
    <row r="569" spans="1:2" x14ac:dyDescent="0.25">
      <c r="B569" s="18" t="s">
        <v>216</v>
      </c>
    </row>
    <row r="570" spans="1:2" x14ac:dyDescent="0.25">
      <c r="A570">
        <f>A564+4</f>
        <v>101</v>
      </c>
      <c r="B570" s="18" t="str" cm="1">
        <f t="array" aca="1" ref="B570" ca="1">"#define MPU_NS_PERM_REG"&amp;A563&amp;"    "&amp;INDIRECT("CONFIG_NS!A"&amp;A570)-1</f>
        <v>#define MPU_NS_PERM_REG9    0</v>
      </c>
    </row>
    <row r="571" spans="1:2" x14ac:dyDescent="0.25">
      <c r="A571">
        <f>A564+5</f>
        <v>102</v>
      </c>
      <c r="B571" s="18" t="str">
        <f ca="1">"#define MPU_NS_XN_REG"&amp;A563&amp;"      "&amp;N(INDIRECT("CONFIG_NS!A"&amp;A571))</f>
        <v>#define MPU_NS_XN_REG9      0</v>
      </c>
    </row>
    <row r="572" spans="1:2" x14ac:dyDescent="0.25">
      <c r="A572">
        <f>A564+6</f>
        <v>103</v>
      </c>
      <c r="B572" s="18" t="str">
        <f ca="1">"#define MPU_NS_PXN_REG"&amp;A563&amp;"     "&amp;N(INDIRECT("CONFIG_NS!A"&amp;A572))</f>
        <v>#define MPU_NS_PXN_REG9     0</v>
      </c>
    </row>
    <row r="573" spans="1:2" x14ac:dyDescent="0.25">
      <c r="A573">
        <f>A564+7</f>
        <v>104</v>
      </c>
      <c r="B573" s="18" t="str" cm="1">
        <f t="array" aca="1" ref="B573" ca="1">"#define MPU_NS_SHARE_REG"&amp;A563&amp;"   "&amp;(INDIRECT("CONFIG_NS!A"&amp;A573)-1)</f>
        <v>#define MPU_NS_SHARE_REG9   0</v>
      </c>
    </row>
    <row r="574" spans="1:2" x14ac:dyDescent="0.25">
      <c r="A574">
        <f>A564+8</f>
        <v>105</v>
      </c>
      <c r="B574" s="18" t="str" cm="1">
        <f t="array" aca="1" ref="B574" ca="1">"#define MPU_NS_ATTRIND"&amp;A563&amp;"     "&amp;INDIRECT("CONFIG_NS!A"&amp;A574)-1</f>
        <v>#define MPU_NS_ATTRIND9     0</v>
      </c>
    </row>
    <row r="575" spans="1:2" x14ac:dyDescent="0.25">
      <c r="B575" s="18" t="s">
        <v>138</v>
      </c>
    </row>
    <row r="576" spans="1:2" x14ac:dyDescent="0.25">
      <c r="A576" s="25">
        <f>A563+1</f>
        <v>10</v>
      </c>
      <c r="B576" s="18" t="str">
        <f>"// MPU_NS Region "&amp;A576&amp;" ********************************"</f>
        <v>// MPU_NS Region 10 ********************************</v>
      </c>
    </row>
    <row r="577" spans="1:2" x14ac:dyDescent="0.25">
      <c r="A577" s="25">
        <f>A564+10</f>
        <v>107</v>
      </c>
      <c r="B577" s="24" t="str">
        <f ca="1">"#define MPU_NS_CONFIG_REG"&amp;A576&amp;" "&amp;N(INDIRECT("CONFIG_NS!A"&amp;A577))</f>
        <v>#define MPU_NS_CONFIG_REG10 0</v>
      </c>
    </row>
    <row r="578" spans="1:2" x14ac:dyDescent="0.25">
      <c r="A578">
        <f>A577+1</f>
        <v>108</v>
      </c>
      <c r="B578" s="18" t="str">
        <f ca="1">"#define MPU_NS_ENABLE_REG"&amp;A576&amp;" "&amp;N(INDIRECT("CONFIG_NS!A"&amp;A578))</f>
        <v>#define MPU_NS_ENABLE_REG10 1</v>
      </c>
    </row>
    <row r="579" spans="1:2" x14ac:dyDescent="0.25">
      <c r="A579">
        <f>A577+2</f>
        <v>109</v>
      </c>
      <c r="B579" s="18" t="str" cm="1">
        <f t="array" aca="1" ref="B579" ca="1">"#define MPU_NS_BASE_REG"&amp;A576&amp;"   0x"&amp;INDIRECT("CONFIG_NS!A"&amp;A579)</f>
        <v>#define MPU_NS_BASE_REG10   0x00000000</v>
      </c>
    </row>
    <row r="580" spans="1:2" x14ac:dyDescent="0.25">
      <c r="A580">
        <f>A577+3</f>
        <v>110</v>
      </c>
      <c r="B580" s="18" t="str">
        <f ca="1">"#define MPU_NS_END_REG"&amp;A576&amp;"    0x"&amp;DEC2HEX(HEX2DEC(INDIRECT("CONFIG_NS!A"&amp;A580))+1,8)</f>
        <v>#define MPU_NS_END_REG10    0x00000020</v>
      </c>
    </row>
    <row r="581" spans="1:2" x14ac:dyDescent="0.25">
      <c r="B581" s="18" t="str">
        <f>"#define MPU_NS_LIMIT_REG"&amp;A576&amp;"  (MPU_NS_END_REG"&amp;A576&amp;" - 1u)"</f>
        <v>#define MPU_NS_LIMIT_REG10  (MPU_NS_END_REG10 - 1u)</v>
      </c>
    </row>
    <row r="582" spans="1:2" x14ac:dyDescent="0.25">
      <c r="B582" s="18" t="s">
        <v>216</v>
      </c>
    </row>
    <row r="583" spans="1:2" x14ac:dyDescent="0.25">
      <c r="A583">
        <f>A577+4</f>
        <v>111</v>
      </c>
      <c r="B583" s="18" t="str" cm="1">
        <f t="array" aca="1" ref="B583" ca="1">"#define MPU_NS_PERM_REG"&amp;A576&amp;"   "&amp;INDIRECT("CONFIG_NS!A"&amp;A583)-1</f>
        <v>#define MPU_NS_PERM_REG10   0</v>
      </c>
    </row>
    <row r="584" spans="1:2" x14ac:dyDescent="0.25">
      <c r="A584">
        <f>A577+5</f>
        <v>112</v>
      </c>
      <c r="B584" s="18" t="str">
        <f ca="1">"#define MPU_NS_XN_REG"&amp;A576&amp;"     "&amp;N(INDIRECT("CONFIG_NS!A"&amp;A584))</f>
        <v>#define MPU_NS_XN_REG10     0</v>
      </c>
    </row>
    <row r="585" spans="1:2" x14ac:dyDescent="0.25">
      <c r="A585">
        <f>A577+6</f>
        <v>113</v>
      </c>
      <c r="B585" s="18" t="str">
        <f ca="1">"#define MPU_NS_PXN_REG"&amp;A576&amp;"    "&amp;N(INDIRECT("CONFIG_NS!A"&amp;A585))</f>
        <v>#define MPU_NS_PXN_REG10    0</v>
      </c>
    </row>
    <row r="586" spans="1:2" x14ac:dyDescent="0.25">
      <c r="A586">
        <f>A577+7</f>
        <v>114</v>
      </c>
      <c r="B586" s="18" t="str" cm="1">
        <f t="array" aca="1" ref="B586" ca="1">"#define MPU_NS_SHARE_REG"&amp;A576&amp;"  "&amp;(INDIRECT("CONFIG_NS!A"&amp;A586)-1)</f>
        <v>#define MPU_NS_SHARE_REG10  0</v>
      </c>
    </row>
    <row r="587" spans="1:2" x14ac:dyDescent="0.25">
      <c r="A587">
        <f>A577+8</f>
        <v>115</v>
      </c>
      <c r="B587" s="18" t="str" cm="1">
        <f t="array" aca="1" ref="B587" ca="1">"#define MPU_NS_ATTRIND"&amp;A576&amp;"    "&amp;INDIRECT("CONFIG_NS!A"&amp;A587)-1</f>
        <v>#define MPU_NS_ATTRIND10    0</v>
      </c>
    </row>
    <row r="588" spans="1:2" x14ac:dyDescent="0.25">
      <c r="B588" s="18" t="s">
        <v>138</v>
      </c>
    </row>
    <row r="589" spans="1:2" x14ac:dyDescent="0.25">
      <c r="A589" s="25">
        <f>A576+1</f>
        <v>11</v>
      </c>
      <c r="B589" s="18" t="str">
        <f>"// MPU_NS Region "&amp;A589&amp;" ********************************"</f>
        <v>// MPU_NS Region 11 ********************************</v>
      </c>
    </row>
    <row r="590" spans="1:2" x14ac:dyDescent="0.25">
      <c r="A590" s="25">
        <f>A577+10</f>
        <v>117</v>
      </c>
      <c r="B590" s="24" t="str">
        <f ca="1">"#define MPU_NS_CONFIG_REG"&amp;A589&amp;" "&amp;N(INDIRECT("CONFIG_NS!A"&amp;A590))</f>
        <v>#define MPU_NS_CONFIG_REG11 0</v>
      </c>
    </row>
    <row r="591" spans="1:2" x14ac:dyDescent="0.25">
      <c r="A591">
        <f>A590+1</f>
        <v>118</v>
      </c>
      <c r="B591" s="18" t="str">
        <f ca="1">"#define MPU_NS_ENABLE_REG"&amp;A589&amp;" "&amp;N(INDIRECT("CONFIG_NS!A"&amp;A591))</f>
        <v>#define MPU_NS_ENABLE_REG11 1</v>
      </c>
    </row>
    <row r="592" spans="1:2" x14ac:dyDescent="0.25">
      <c r="A592">
        <f>A590+2</f>
        <v>119</v>
      </c>
      <c r="B592" s="18" t="str" cm="1">
        <f t="array" aca="1" ref="B592" ca="1">"#define MPU_NS_BASE_REG"&amp;A589&amp;"   0x"&amp;INDIRECT("CONFIG_NS!A"&amp;A592)</f>
        <v>#define MPU_NS_BASE_REG11   0x00000000</v>
      </c>
    </row>
    <row r="593" spans="1:2" x14ac:dyDescent="0.25">
      <c r="A593">
        <f>A590+3</f>
        <v>120</v>
      </c>
      <c r="B593" s="18" t="str">
        <f ca="1">"#define MPU_NS_END_REG"&amp;A589&amp;"    0x"&amp;DEC2HEX(HEX2DEC(INDIRECT("CONFIG_NS!A"&amp;A593))+1,8)</f>
        <v>#define MPU_NS_END_REG11    0x00000020</v>
      </c>
    </row>
    <row r="594" spans="1:2" x14ac:dyDescent="0.25">
      <c r="B594" s="18" t="str">
        <f>"#define MPU_NS_LIMIT_REG"&amp;A589&amp;"  (MPU_NS_END_REG"&amp;A589&amp;" - 1u)"</f>
        <v>#define MPU_NS_LIMIT_REG11  (MPU_NS_END_REG11 - 1u)</v>
      </c>
    </row>
    <row r="595" spans="1:2" x14ac:dyDescent="0.25">
      <c r="B595" s="18" t="s">
        <v>216</v>
      </c>
    </row>
    <row r="596" spans="1:2" x14ac:dyDescent="0.25">
      <c r="A596">
        <f>A590+4</f>
        <v>121</v>
      </c>
      <c r="B596" s="18" t="str" cm="1">
        <f t="array" aca="1" ref="B596" ca="1">"#define MPU_NS_PERM_REG"&amp;A589&amp;"   "&amp;INDIRECT("CONFIG_NS!A"&amp;A596)-1</f>
        <v>#define MPU_NS_PERM_REG11   0</v>
      </c>
    </row>
    <row r="597" spans="1:2" x14ac:dyDescent="0.25">
      <c r="A597">
        <f>A590+5</f>
        <v>122</v>
      </c>
      <c r="B597" s="18" t="str">
        <f ca="1">"#define MPU_NS_XN_REG"&amp;A589&amp;"     "&amp;N(INDIRECT("CONFIG_NS!A"&amp;A597))</f>
        <v>#define MPU_NS_XN_REG11     0</v>
      </c>
    </row>
    <row r="598" spans="1:2" x14ac:dyDescent="0.25">
      <c r="A598">
        <f>A590+6</f>
        <v>123</v>
      </c>
      <c r="B598" s="18" t="str">
        <f ca="1">"#define MPU_NS_PXN_REG"&amp;A589&amp;"    "&amp;N(INDIRECT("CONFIG_NS!A"&amp;A598))</f>
        <v>#define MPU_NS_PXN_REG11    0</v>
      </c>
    </row>
    <row r="599" spans="1:2" x14ac:dyDescent="0.25">
      <c r="A599">
        <f>A590+7</f>
        <v>124</v>
      </c>
      <c r="B599" s="18" t="str" cm="1">
        <f t="array" aca="1" ref="B599" ca="1">"#define MPU_NS_SHARE_REG"&amp;A589&amp;"  "&amp;(INDIRECT("CONFIG_NS!A"&amp;A599)-1)</f>
        <v>#define MPU_NS_SHARE_REG11  0</v>
      </c>
    </row>
    <row r="600" spans="1:2" x14ac:dyDescent="0.25">
      <c r="A600">
        <f>A590+8</f>
        <v>125</v>
      </c>
      <c r="B600" s="18" t="str" cm="1">
        <f t="array" aca="1" ref="B600" ca="1">"#define MPU_NS_ATTRIND"&amp;A589&amp;"    "&amp;INDIRECT("CONFIG_NS!A"&amp;A600)-1</f>
        <v>#define MPU_NS_ATTRIND11    0</v>
      </c>
    </row>
    <row r="601" spans="1:2" x14ac:dyDescent="0.25">
      <c r="B601" s="18" t="s">
        <v>138</v>
      </c>
    </row>
    <row r="602" spans="1:2" x14ac:dyDescent="0.25">
      <c r="A602" s="25">
        <f>A589+1</f>
        <v>12</v>
      </c>
      <c r="B602" s="18" t="str">
        <f>"// MPU_NS Region "&amp;A602&amp;" ********************************"</f>
        <v>// MPU_NS Region 12 ********************************</v>
      </c>
    </row>
    <row r="603" spans="1:2" x14ac:dyDescent="0.25">
      <c r="A603" s="25">
        <f>A590+10</f>
        <v>127</v>
      </c>
      <c r="B603" s="24" t="str">
        <f ca="1">"#define MPU_NS_CONFIG_REG"&amp;A602&amp;" "&amp;N(INDIRECT("CONFIG_NS!A"&amp;A603))</f>
        <v>#define MPU_NS_CONFIG_REG12 0</v>
      </c>
    </row>
    <row r="604" spans="1:2" x14ac:dyDescent="0.25">
      <c r="A604">
        <f>A603+1</f>
        <v>128</v>
      </c>
      <c r="B604" s="18" t="str">
        <f ca="1">"#define MPU_NS_ENABLE_REG"&amp;A602&amp;" "&amp;N(INDIRECT("CONFIG_NS!A"&amp;A604))</f>
        <v>#define MPU_NS_ENABLE_REG12 1</v>
      </c>
    </row>
    <row r="605" spans="1:2" x14ac:dyDescent="0.25">
      <c r="A605">
        <f>A603+2</f>
        <v>129</v>
      </c>
      <c r="B605" s="18" t="str" cm="1">
        <f t="array" aca="1" ref="B605" ca="1">"#define MPU_NS_BASE_REG"&amp;A602&amp;"   0x"&amp;INDIRECT("CONFIG_NS!A"&amp;A605)</f>
        <v>#define MPU_NS_BASE_REG12   0x00000000</v>
      </c>
    </row>
    <row r="606" spans="1:2" x14ac:dyDescent="0.25">
      <c r="A606">
        <f>A603+3</f>
        <v>130</v>
      </c>
      <c r="B606" s="18" t="str">
        <f ca="1">"#define MPU_NS_END_REG"&amp;A602&amp;"    0x"&amp;DEC2HEX(HEX2DEC(INDIRECT("CONFIG_NS!A"&amp;A606))+1,8)</f>
        <v>#define MPU_NS_END_REG12    0x00000020</v>
      </c>
    </row>
    <row r="607" spans="1:2" x14ac:dyDescent="0.25">
      <c r="B607" s="18" t="str">
        <f>"#define MPU_NS_LIMIT_REG"&amp;A602&amp;"  (MPU_NS_END_REG"&amp;A602&amp;" - 1u)"</f>
        <v>#define MPU_NS_LIMIT_REG12  (MPU_NS_END_REG12 - 1u)</v>
      </c>
    </row>
    <row r="608" spans="1:2" x14ac:dyDescent="0.25">
      <c r="B608" s="18" t="s">
        <v>216</v>
      </c>
    </row>
    <row r="609" spans="1:2" x14ac:dyDescent="0.25">
      <c r="A609">
        <f>A603+4</f>
        <v>131</v>
      </c>
      <c r="B609" s="18" t="str" cm="1">
        <f t="array" aca="1" ref="B609" ca="1">"#define MPU_NS_PERM_REG"&amp;A602&amp;"   "&amp;INDIRECT("CONFIG_NS!A"&amp;A609)-1</f>
        <v>#define MPU_NS_PERM_REG12   0</v>
      </c>
    </row>
    <row r="610" spans="1:2" x14ac:dyDescent="0.25">
      <c r="A610">
        <f>A603+5</f>
        <v>132</v>
      </c>
      <c r="B610" s="18" t="str">
        <f ca="1">"#define MPU_NS_XN_REG"&amp;A602&amp;"     "&amp;N(INDIRECT("CONFIG_NS!A"&amp;A610))</f>
        <v>#define MPU_NS_XN_REG12     0</v>
      </c>
    </row>
    <row r="611" spans="1:2" x14ac:dyDescent="0.25">
      <c r="A611">
        <f>A603+6</f>
        <v>133</v>
      </c>
      <c r="B611" s="18" t="str">
        <f ca="1">"#define MPU_NS_PXN_REG"&amp;A602&amp;"    "&amp;N(INDIRECT("CONFIG_NS!A"&amp;A611))</f>
        <v>#define MPU_NS_PXN_REG12    0</v>
      </c>
    </row>
    <row r="612" spans="1:2" x14ac:dyDescent="0.25">
      <c r="A612">
        <f>A603+7</f>
        <v>134</v>
      </c>
      <c r="B612" s="18" t="str" cm="1">
        <f t="array" aca="1" ref="B612" ca="1">"#define MPU_NS_SHARE_REG"&amp;A602&amp;"  "&amp;(INDIRECT("CONFIG_NS!A"&amp;A612)-1)</f>
        <v>#define MPU_NS_SHARE_REG12  0</v>
      </c>
    </row>
    <row r="613" spans="1:2" x14ac:dyDescent="0.25">
      <c r="A613">
        <f>A603+8</f>
        <v>135</v>
      </c>
      <c r="B613" s="18" t="str" cm="1">
        <f t="array" aca="1" ref="B613" ca="1">"#define MPU_NS_ATTRIND"&amp;A602&amp;"    "&amp;INDIRECT("CONFIG_NS!A"&amp;A613)-1</f>
        <v>#define MPU_NS_ATTRIND12    0</v>
      </c>
    </row>
    <row r="614" spans="1:2" x14ac:dyDescent="0.25">
      <c r="B614" s="18" t="s">
        <v>138</v>
      </c>
    </row>
    <row r="615" spans="1:2" x14ac:dyDescent="0.25">
      <c r="A615" s="25">
        <f>A602+1</f>
        <v>13</v>
      </c>
      <c r="B615" s="18" t="str">
        <f>"// MPU_NS Region "&amp;A615&amp;" ********************************"</f>
        <v>// MPU_NS Region 13 ********************************</v>
      </c>
    </row>
    <row r="616" spans="1:2" x14ac:dyDescent="0.25">
      <c r="A616" s="25">
        <f>A603+10</f>
        <v>137</v>
      </c>
      <c r="B616" s="24" t="str">
        <f ca="1">"#define MPU_NS_CONFIG_REG"&amp;A615&amp;" "&amp;N(INDIRECT("CONFIG_NS!A"&amp;A616))</f>
        <v>#define MPU_NS_CONFIG_REG13 0</v>
      </c>
    </row>
    <row r="617" spans="1:2" x14ac:dyDescent="0.25">
      <c r="A617">
        <f>A616+1</f>
        <v>138</v>
      </c>
      <c r="B617" s="18" t="str">
        <f ca="1">"#define MPU_NS_ENABLE_REG"&amp;A615&amp;" "&amp;N(INDIRECT("CONFIG_NS!A"&amp;A617))</f>
        <v>#define MPU_NS_ENABLE_REG13 1</v>
      </c>
    </row>
    <row r="618" spans="1:2" x14ac:dyDescent="0.25">
      <c r="A618">
        <f>A616+2</f>
        <v>139</v>
      </c>
      <c r="B618" s="18" t="str" cm="1">
        <f t="array" aca="1" ref="B618" ca="1">"#define MPU_NS_BASE_REG"&amp;A615&amp;"   0x"&amp;INDIRECT("CONFIG_NS!A"&amp;A618)</f>
        <v>#define MPU_NS_BASE_REG13   0x00000000</v>
      </c>
    </row>
    <row r="619" spans="1:2" x14ac:dyDescent="0.25">
      <c r="A619">
        <f>A616+3</f>
        <v>140</v>
      </c>
      <c r="B619" s="18" t="str">
        <f ca="1">"#define MPU_NS_END_REG"&amp;A615&amp;"    0x"&amp;DEC2HEX(HEX2DEC(INDIRECT("CONFIG_NS!A"&amp;A619))+1,8)</f>
        <v>#define MPU_NS_END_REG13    0x00000020</v>
      </c>
    </row>
    <row r="620" spans="1:2" x14ac:dyDescent="0.25">
      <c r="B620" s="18" t="str">
        <f>"#define MPU_NS_LIMIT_REG"&amp;A615&amp;"  (MPU_NS_END_REG"&amp;A615&amp;" - 1u)"</f>
        <v>#define MPU_NS_LIMIT_REG13  (MPU_NS_END_REG13 - 1u)</v>
      </c>
    </row>
    <row r="621" spans="1:2" x14ac:dyDescent="0.25">
      <c r="B621" s="18" t="s">
        <v>216</v>
      </c>
    </row>
    <row r="622" spans="1:2" x14ac:dyDescent="0.25">
      <c r="A622">
        <f>A616+4</f>
        <v>141</v>
      </c>
      <c r="B622" s="18" t="str" cm="1">
        <f t="array" aca="1" ref="B622" ca="1">"#define MPU_NS_PERM_REG"&amp;A615&amp;"   "&amp;INDIRECT("CONFIG_NS!A"&amp;A622)-1</f>
        <v>#define MPU_NS_PERM_REG13   0</v>
      </c>
    </row>
    <row r="623" spans="1:2" x14ac:dyDescent="0.25">
      <c r="A623">
        <f>A616+5</f>
        <v>142</v>
      </c>
      <c r="B623" s="18" t="str">
        <f ca="1">"#define MPU_NS_XN_REG"&amp;A615&amp;"     "&amp;N(INDIRECT("CONFIG_NS!A"&amp;A623))</f>
        <v>#define MPU_NS_XN_REG13     0</v>
      </c>
    </row>
    <row r="624" spans="1:2" x14ac:dyDescent="0.25">
      <c r="A624">
        <f>A616+6</f>
        <v>143</v>
      </c>
      <c r="B624" s="18" t="str">
        <f ca="1">"#define MPU_NS_PXN_REG"&amp;A615&amp;"    "&amp;N(INDIRECT("CONFIG_NS!A"&amp;A624))</f>
        <v>#define MPU_NS_PXN_REG13    0</v>
      </c>
    </row>
    <row r="625" spans="1:2" x14ac:dyDescent="0.25">
      <c r="A625">
        <f>A616+7</f>
        <v>144</v>
      </c>
      <c r="B625" s="18" t="str" cm="1">
        <f t="array" aca="1" ref="B625" ca="1">"#define MPU_NS_SHARE_REG"&amp;A615&amp;"  "&amp;(INDIRECT("CONFIG_NS!A"&amp;A625)-1)</f>
        <v>#define MPU_NS_SHARE_REG13  0</v>
      </c>
    </row>
    <row r="626" spans="1:2" x14ac:dyDescent="0.25">
      <c r="A626">
        <f>A616+8</f>
        <v>145</v>
      </c>
      <c r="B626" s="18" t="str" cm="1">
        <f t="array" aca="1" ref="B626" ca="1">"#define MPU_NS_ATTRIND"&amp;A615&amp;"    "&amp;INDIRECT("CONFIG_NS!A"&amp;A626)-1</f>
        <v>#define MPU_NS_ATTRIND13    0</v>
      </c>
    </row>
    <row r="627" spans="1:2" x14ac:dyDescent="0.25">
      <c r="B627" s="18" t="s">
        <v>138</v>
      </c>
    </row>
    <row r="628" spans="1:2" x14ac:dyDescent="0.25">
      <c r="A628" s="25">
        <f>A615+1</f>
        <v>14</v>
      </c>
      <c r="B628" s="18" t="str">
        <f>"// MPU_NS Region "&amp;A628&amp;" ********************************"</f>
        <v>// MPU_NS Region 14 ********************************</v>
      </c>
    </row>
    <row r="629" spans="1:2" x14ac:dyDescent="0.25">
      <c r="A629" s="25">
        <f>A616+10</f>
        <v>147</v>
      </c>
      <c r="B629" s="24" t="str">
        <f ca="1">"#define MPU_NS_CONFIG_REG"&amp;A628&amp;" "&amp;N(INDIRECT("CONFIG_NS!A"&amp;A629))</f>
        <v>#define MPU_NS_CONFIG_REG14 0</v>
      </c>
    </row>
    <row r="630" spans="1:2" x14ac:dyDescent="0.25">
      <c r="A630">
        <f>A629+1</f>
        <v>148</v>
      </c>
      <c r="B630" s="18" t="str">
        <f ca="1">"#define MPU_NS_ENABLE_REG"&amp;A628&amp;" "&amp;N(INDIRECT("CONFIG_NS!A"&amp;A630))</f>
        <v>#define MPU_NS_ENABLE_REG14 1</v>
      </c>
    </row>
    <row r="631" spans="1:2" x14ac:dyDescent="0.25">
      <c r="A631">
        <f>A629+2</f>
        <v>149</v>
      </c>
      <c r="B631" s="18" t="str" cm="1">
        <f t="array" aca="1" ref="B631" ca="1">"#define MPU_NS_BASE_REG"&amp;A628&amp;"   0x"&amp;INDIRECT("CONFIG_NS!A"&amp;A631)</f>
        <v>#define MPU_NS_BASE_REG14   0x00000000</v>
      </c>
    </row>
    <row r="632" spans="1:2" x14ac:dyDescent="0.25">
      <c r="A632">
        <f>A629+3</f>
        <v>150</v>
      </c>
      <c r="B632" s="18" t="str">
        <f ca="1">"#define MPU_NS_END_REG"&amp;A628&amp;"    0x"&amp;DEC2HEX(HEX2DEC(INDIRECT("CONFIG_NS!A"&amp;A632))+1,8)</f>
        <v>#define MPU_NS_END_REG14    0x00000020</v>
      </c>
    </row>
    <row r="633" spans="1:2" x14ac:dyDescent="0.25">
      <c r="B633" s="18" t="str">
        <f>"#define MPU_NS_LIMIT_REG"&amp;A628&amp;"  (MPU_NS_END_REG"&amp;A628&amp;" - 1u)"</f>
        <v>#define MPU_NS_LIMIT_REG14  (MPU_NS_END_REG14 - 1u)</v>
      </c>
    </row>
    <row r="634" spans="1:2" x14ac:dyDescent="0.25">
      <c r="B634" s="18" t="s">
        <v>216</v>
      </c>
    </row>
    <row r="635" spans="1:2" x14ac:dyDescent="0.25">
      <c r="A635">
        <f>A629+4</f>
        <v>151</v>
      </c>
      <c r="B635" s="18" t="str" cm="1">
        <f t="array" aca="1" ref="B635" ca="1">"#define MPU_NS_PERM_REG"&amp;A628&amp;"   "&amp;INDIRECT("CONFIG_NS!A"&amp;A635)-1</f>
        <v>#define MPU_NS_PERM_REG14   0</v>
      </c>
    </row>
    <row r="636" spans="1:2" x14ac:dyDescent="0.25">
      <c r="A636">
        <f>A629+5</f>
        <v>152</v>
      </c>
      <c r="B636" s="18" t="str">
        <f ca="1">"#define MPU_NS_XN_REG"&amp;A628&amp;"     "&amp;N(INDIRECT("CONFIG_NS!A"&amp;A636))</f>
        <v>#define MPU_NS_XN_REG14     0</v>
      </c>
    </row>
    <row r="637" spans="1:2" x14ac:dyDescent="0.25">
      <c r="A637">
        <f>A629+6</f>
        <v>153</v>
      </c>
      <c r="B637" s="18" t="str">
        <f ca="1">"#define MPU_NS_PXN_REG"&amp;A628&amp;"    "&amp;N(INDIRECT("CONFIG_NS!A"&amp;A637))</f>
        <v>#define MPU_NS_PXN_REG14    0</v>
      </c>
    </row>
    <row r="638" spans="1:2" x14ac:dyDescent="0.25">
      <c r="A638">
        <f>A629+7</f>
        <v>154</v>
      </c>
      <c r="B638" s="18" t="str" cm="1">
        <f t="array" aca="1" ref="B638" ca="1">"#define MPU_NS_SHARE_REG"&amp;A628&amp;"  "&amp;(INDIRECT("CONFIG_NS!A"&amp;A638)-1)</f>
        <v>#define MPU_NS_SHARE_REG14  0</v>
      </c>
    </row>
    <row r="639" spans="1:2" x14ac:dyDescent="0.25">
      <c r="A639">
        <f>A629+8</f>
        <v>155</v>
      </c>
      <c r="B639" s="18" t="str" cm="1">
        <f t="array" aca="1" ref="B639" ca="1">"#define MPU_NS_ATTRIND"&amp;A628&amp;"    "&amp;INDIRECT("CONFIG_NS!A"&amp;A639)-1</f>
        <v>#define MPU_NS_ATTRIND14    0</v>
      </c>
    </row>
    <row r="640" spans="1:2" x14ac:dyDescent="0.25">
      <c r="B640" s="18" t="s">
        <v>138</v>
      </c>
    </row>
    <row r="641" spans="1:2" x14ac:dyDescent="0.25">
      <c r="A641" s="25">
        <f>A628+1</f>
        <v>15</v>
      </c>
      <c r="B641" s="18" t="str">
        <f>"// MPU_NS Region "&amp;A641&amp;" ********************************"</f>
        <v>// MPU_NS Region 15 ********************************</v>
      </c>
    </row>
    <row r="642" spans="1:2" x14ac:dyDescent="0.25">
      <c r="A642" s="25">
        <f>A629+10</f>
        <v>157</v>
      </c>
      <c r="B642" s="24" t="str">
        <f ca="1">"#define MPU_NS_CONFIG_REG"&amp;A641&amp;" "&amp;N(INDIRECT("CONFIG_NS!A"&amp;A642))</f>
        <v>#define MPU_NS_CONFIG_REG15 0</v>
      </c>
    </row>
    <row r="643" spans="1:2" x14ac:dyDescent="0.25">
      <c r="A643">
        <f>A642+1</f>
        <v>158</v>
      </c>
      <c r="B643" s="18" t="str">
        <f ca="1">"#define MPU_NS_ENABLE_REG"&amp;A641&amp;" "&amp;N(INDIRECT("CONFIG_NS!A"&amp;A643))</f>
        <v>#define MPU_NS_ENABLE_REG15 1</v>
      </c>
    </row>
    <row r="644" spans="1:2" x14ac:dyDescent="0.25">
      <c r="A644">
        <f>A642+2</f>
        <v>159</v>
      </c>
      <c r="B644" s="18" t="str" cm="1">
        <f t="array" aca="1" ref="B644" ca="1">"#define MPU_NS_BASE_REG"&amp;A641&amp;"   0x"&amp;INDIRECT("CONFIG_NS!A"&amp;A644)</f>
        <v>#define MPU_NS_BASE_REG15   0x00000000</v>
      </c>
    </row>
    <row r="645" spans="1:2" x14ac:dyDescent="0.25">
      <c r="A645">
        <f>A642+3</f>
        <v>160</v>
      </c>
      <c r="B645" s="18" t="str">
        <f ca="1">"#define MPU_NS_END_REG"&amp;A641&amp;"    0x"&amp;DEC2HEX(HEX2DEC(INDIRECT("CONFIG_NS!A"&amp;A645))+1,8)</f>
        <v>#define MPU_NS_END_REG15    0x00000020</v>
      </c>
    </row>
    <row r="646" spans="1:2" x14ac:dyDescent="0.25">
      <c r="B646" s="18" t="str">
        <f>"#define MPU_NS_LIMIT_REG"&amp;A641&amp;"  (MPU_NS_END_REG"&amp;A641&amp;" - 1u)"</f>
        <v>#define MPU_NS_LIMIT_REG15  (MPU_NS_END_REG15 - 1u)</v>
      </c>
    </row>
    <row r="647" spans="1:2" x14ac:dyDescent="0.25">
      <c r="B647" s="18" t="s">
        <v>216</v>
      </c>
    </row>
    <row r="648" spans="1:2" x14ac:dyDescent="0.25">
      <c r="A648">
        <f>A642+4</f>
        <v>161</v>
      </c>
      <c r="B648" s="18" t="str" cm="1">
        <f t="array" aca="1" ref="B648" ca="1">"#define MPU_NS_PERM_REG"&amp;A641&amp;"   "&amp;INDIRECT("CONFIG_NS!A"&amp;A648)-1</f>
        <v>#define MPU_NS_PERM_REG15   0</v>
      </c>
    </row>
    <row r="649" spans="1:2" x14ac:dyDescent="0.25">
      <c r="A649">
        <f>A642+5</f>
        <v>162</v>
      </c>
      <c r="B649" s="18" t="str">
        <f ca="1">"#define MPU_NS_XN_REG"&amp;A641&amp;"     "&amp;N(INDIRECT("CONFIG_NS!A"&amp;A649))</f>
        <v>#define MPU_NS_XN_REG15     0</v>
      </c>
    </row>
    <row r="650" spans="1:2" x14ac:dyDescent="0.25">
      <c r="A650">
        <f>A642+6</f>
        <v>163</v>
      </c>
      <c r="B650" s="18" t="str">
        <f ca="1">"#define MPU_NS_PXN_REG"&amp;A641&amp;"    "&amp;N(INDIRECT("CONFIG_NS!A"&amp;A650))</f>
        <v>#define MPU_NS_PXN_REG15    0</v>
      </c>
    </row>
    <row r="651" spans="1:2" x14ac:dyDescent="0.25">
      <c r="A651">
        <f>A642+7</f>
        <v>164</v>
      </c>
      <c r="B651" s="18" t="str" cm="1">
        <f t="array" aca="1" ref="B651" ca="1">"#define MPU_NS_SHARE_REG"&amp;A641&amp;"  "&amp;(INDIRECT("CONFIG_NS!A"&amp;A651)-1)</f>
        <v>#define MPU_NS_SHARE_REG15  0</v>
      </c>
    </row>
    <row r="652" spans="1:2" x14ac:dyDescent="0.25">
      <c r="A652">
        <f>A642+8</f>
        <v>165</v>
      </c>
      <c r="B652" s="18" t="str" cm="1">
        <f t="array" aca="1" ref="B652" ca="1">"#define MPU_NS_ATTRIND"&amp;A641&amp;"    "&amp;INDIRECT("CONFIG_NS!A"&amp;A652)-1</f>
        <v>#define MPU_NS_ATTRIND15    0</v>
      </c>
    </row>
    <row r="653" spans="1:2" x14ac:dyDescent="0.25">
      <c r="B653" s="18" t="s">
        <v>138</v>
      </c>
    </row>
    <row r="654" spans="1:2" x14ac:dyDescent="0.25">
      <c r="B654" s="18" t="s">
        <v>217</v>
      </c>
    </row>
    <row r="655" spans="1:2" x14ac:dyDescent="0.25">
      <c r="A655" s="27">
        <v>0</v>
      </c>
      <c r="B655" s="18" t="str">
        <f>"// MPU_NS IDX "&amp;A655&amp;" ********************************"</f>
        <v>// MPU_NS IDX 0 ********************************</v>
      </c>
    </row>
    <row r="656" spans="1:2" x14ac:dyDescent="0.25">
      <c r="A656" s="27">
        <v>168</v>
      </c>
      <c r="B656" s="18" t="str">
        <f ca="1">"#define MPU_NS_INIT_IDX"&amp;A655&amp;"   "&amp;N(INDIRECT("CONFIG_NS!A"&amp;A656))</f>
        <v>#define MPU_NS_INIT_IDX0   1</v>
      </c>
    </row>
    <row r="657" spans="1:2" x14ac:dyDescent="0.25">
      <c r="A657">
        <f>A656+2</f>
        <v>170</v>
      </c>
      <c r="B657" s="18" t="str" cm="1">
        <f t="array" aca="1" ref="B657" ca="1">"#define MPU_NS_TYPE_IDX"&amp;A655&amp;"   "&amp;"0x"&amp;DEC2HEX(HEX2DEC(INDIRECT("CONFIG_NS!A"&amp;INDIRECT("CONFIG_NS!A"&amp;(A657))+264)),2)</f>
        <v>#define MPU_NS_TYPE_IDX0   0xAA</v>
      </c>
    </row>
    <row r="658" spans="1:2" x14ac:dyDescent="0.25">
      <c r="A658">
        <f>A657+1</f>
        <v>171</v>
      </c>
      <c r="B658" s="18" t="str" cm="1">
        <f t="array" aca="1" ref="B658" ca="1">"#define MPU_NS_OC_POL_IDX"&amp;A655&amp;" 0x"&amp;DEC2HEX(16*HEX2DEC(INDIRECT("CONFIG_NS!A"&amp;INDIRECT("CONFIG_NS!A"&amp;(A658))+273)),2)</f>
        <v>#define MPU_NS_OC_POL_IDX0 0x80</v>
      </c>
    </row>
    <row r="659" spans="1:2" x14ac:dyDescent="0.25">
      <c r="A659">
        <f>A658+3</f>
        <v>174</v>
      </c>
      <c r="B659" s="18" t="str" cm="1">
        <f t="array" aca="1" ref="B659" ca="1">"#define MPU_NS_IC_POL_IDX"&amp;A655&amp;" 0x"&amp;DEC2HEX(HEX2DEC(INDIRECT("CONFIG_NS!A"&amp;INDIRECT("CONFIG_NS!A"&amp;(A659))+273)),2)</f>
        <v>#define MPU_NS_IC_POL_IDX0 0x08</v>
      </c>
    </row>
    <row r="660" spans="1:2" x14ac:dyDescent="0.25">
      <c r="A660">
        <f>A658+1</f>
        <v>172</v>
      </c>
      <c r="B660" s="18" t="str" cm="1">
        <f t="array" aca="1" ref="B660" ca="1">"#define MPU_NS_OC_RW_IDX"&amp;A655&amp;"  0x"&amp;DEC2HEX((32*INDIRECT("CONFIG_NS!A"&amp;(A660))+(16*INDIRECT("CONFIG_NS!A"&amp;(A660+1)))),2)</f>
        <v>#define MPU_NS_OC_RW_IDX0  0x00</v>
      </c>
    </row>
    <row r="661" spans="1:2" x14ac:dyDescent="0.25">
      <c r="A661">
        <f>A659+1</f>
        <v>175</v>
      </c>
      <c r="B661" s="18" t="str" cm="1">
        <f t="array" aca="1" ref="B661" ca="1">"#define MPU_NS_IC_RW_IDX"&amp;A655&amp;"  0x"&amp;DEC2HEX((2*INDIRECT("CONFIG_NS!A"&amp;(A661))+(1*INDIRECT("CONFIG_NS!A"&amp;(A661+1)))),2)</f>
        <v>#define MPU_NS_IC_RW_IDX0  0x00</v>
      </c>
    </row>
    <row r="662" spans="1:2" x14ac:dyDescent="0.25">
      <c r="B662" s="18" t="str">
        <f>"#if (MPU_NS_OC_POL_IDX"&amp;A655&amp;" == 0x10)"</f>
        <v>#if (MPU_NS_OC_POL_IDX0 == 0x10)</v>
      </c>
    </row>
    <row r="663" spans="1:2" x14ac:dyDescent="0.25">
      <c r="B663" s="18" t="str">
        <f>"#define MPU_NS_OUTERCACHE_IDX"&amp;A655&amp;" 0x40"</f>
        <v>#define MPU_NS_OUTERCACHE_IDX0 0x40</v>
      </c>
    </row>
    <row r="664" spans="1:2" x14ac:dyDescent="0.25">
      <c r="B664" s="18" t="s">
        <v>24</v>
      </c>
    </row>
    <row r="665" spans="1:2" x14ac:dyDescent="0.25">
      <c r="B665" s="18" t="str">
        <f>"#define MPU_NS_OUTERCACHE_IDX"&amp;A655&amp;" (MPU_NS_OC_POL_IDX"&amp;A655&amp;" | MPU_NS_OC_RW_IDX"&amp;A655&amp;")"</f>
        <v>#define MPU_NS_OUTERCACHE_IDX0 (MPU_NS_OC_POL_IDX0 | MPU_NS_OC_RW_IDX0)</v>
      </c>
    </row>
    <row r="666" spans="1:2" x14ac:dyDescent="0.25">
      <c r="B666" s="18" t="s">
        <v>25</v>
      </c>
    </row>
    <row r="667" spans="1:2" x14ac:dyDescent="0.25">
      <c r="B667" s="18" t="str">
        <f>"#if (MPU_NS_IC_POL_IDX"&amp;A655&amp;" == 0x01)"</f>
        <v>#if (MPU_NS_IC_POL_IDX0 == 0x01)</v>
      </c>
    </row>
    <row r="668" spans="1:2" x14ac:dyDescent="0.25">
      <c r="B668" s="18" t="str">
        <f>"#define MPU_NS_INNERCACHE_IDX"&amp;A655&amp;" 0x04"</f>
        <v>#define MPU_NS_INNERCACHE_IDX0 0x04</v>
      </c>
    </row>
    <row r="669" spans="1:2" x14ac:dyDescent="0.25">
      <c r="B669" s="18" t="s">
        <v>24</v>
      </c>
    </row>
    <row r="670" spans="1:2" x14ac:dyDescent="0.25">
      <c r="B670" s="18" t="str">
        <f>"#define MPU_NS_INNERCACHE_IDX"&amp;A655&amp;" (MPU_NS_IC_POL_IDX"&amp;A655&amp;" | MPU_NS_IC_RW_IDX"&amp;A655&amp;")"</f>
        <v>#define MPU_NS_INNERCACHE_IDX0 (MPU_NS_IC_POL_IDX0 | MPU_NS_IC_RW_IDX0)</v>
      </c>
    </row>
    <row r="671" spans="1:2" x14ac:dyDescent="0.25">
      <c r="B671" s="18" t="s">
        <v>25</v>
      </c>
    </row>
    <row r="672" spans="1:2" x14ac:dyDescent="0.25">
      <c r="B672" s="18" t="str">
        <f>"#if (MPU_NS_TYPE_IDX"&amp;A655&amp;" == 0x01)"</f>
        <v>#if (MPU_NS_TYPE_IDX0 == 0x01)</v>
      </c>
    </row>
    <row r="673" spans="1:2" x14ac:dyDescent="0.25">
      <c r="B673" s="18" t="str">
        <f>"#define MPU_NS_VAL_IDX"&amp;A655&amp;"        (MPU_NS_OUTERCACHE_IDX"&amp;A655&amp;" | MPU_NS_INNERCACHE_IDX"&amp;A655&amp;")"</f>
        <v>#define MPU_NS_VAL_IDX0        (MPU_NS_OUTERCACHE_IDX0 | MPU_NS_INNERCACHE_IDX0)</v>
      </c>
    </row>
    <row r="674" spans="1:2" x14ac:dyDescent="0.25">
      <c r="B674" s="18" t="s">
        <v>24</v>
      </c>
    </row>
    <row r="675" spans="1:2" x14ac:dyDescent="0.25">
      <c r="B675" s="18" t="str">
        <f>"#define MPU_NS_VAL_IDX"&amp;A655&amp;"        (MPU_NS_TYPE_IDX"&amp;A655&amp;")"</f>
        <v>#define MPU_NS_VAL_IDX0        (MPU_NS_TYPE_IDX0)</v>
      </c>
    </row>
    <row r="676" spans="1:2" x14ac:dyDescent="0.25">
      <c r="B676" s="18" t="s">
        <v>25</v>
      </c>
    </row>
    <row r="677" spans="1:2" x14ac:dyDescent="0.25">
      <c r="B677" s="18" t="s">
        <v>138</v>
      </c>
    </row>
    <row r="678" spans="1:2" x14ac:dyDescent="0.25">
      <c r="A678" s="27">
        <f>A655+1</f>
        <v>1</v>
      </c>
      <c r="B678" s="18" t="str">
        <f>"// MPU_NS IDX "&amp;A678&amp;" ********************************"</f>
        <v>// MPU_NS IDX 1 ********************************</v>
      </c>
    </row>
    <row r="679" spans="1:2" x14ac:dyDescent="0.25">
      <c r="A679" s="27">
        <f>A656+10</f>
        <v>178</v>
      </c>
      <c r="B679" s="18" t="str">
        <f ca="1">"#define MPU_NS_INIT_IDX"&amp;A678&amp;"   "&amp;N(INDIRECT("CONFIG_NS!A"&amp;A679))</f>
        <v>#define MPU_NS_INIT_IDX1   0</v>
      </c>
    </row>
    <row r="680" spans="1:2" x14ac:dyDescent="0.25">
      <c r="A680">
        <f>A679+2</f>
        <v>180</v>
      </c>
      <c r="B680" s="18" t="str" cm="1">
        <f t="array" aca="1" ref="B680" ca="1">"#define MPU_NS_TYPE_IDX"&amp;A678&amp;"   "&amp;"0x"&amp;DEC2HEX(HEX2DEC(INDIRECT("CONFIG_NS!A"&amp;INDIRECT("CONFIG_NS!A"&amp;(A680))+264)),2)</f>
        <v>#define MPU_NS_TYPE_IDX1   0xAA</v>
      </c>
    </row>
    <row r="681" spans="1:2" x14ac:dyDescent="0.25">
      <c r="A681">
        <f>A680+1</f>
        <v>181</v>
      </c>
      <c r="B681" s="18" t="str" cm="1">
        <f t="array" aca="1" ref="B681" ca="1">"#define MPU_NS_OC_POL_IDX"&amp;A678&amp;" 0x"&amp;DEC2HEX(16*HEX2DEC(INDIRECT("CONFIG_NS!A"&amp;INDIRECT("CONFIG_NS!A"&amp;(A681))+273)),2)</f>
        <v>#define MPU_NS_OC_POL_IDX1 0x10</v>
      </c>
    </row>
    <row r="682" spans="1:2" x14ac:dyDescent="0.25">
      <c r="A682">
        <f>A681+3</f>
        <v>184</v>
      </c>
      <c r="B682" s="18" t="str" cm="1">
        <f t="array" aca="1" ref="B682" ca="1">"#define MPU_NS_IC_POL_IDX"&amp;A678&amp;" 0x"&amp;DEC2HEX(HEX2DEC(INDIRECT("CONFIG_NS!A"&amp;INDIRECT("CONFIG_NS!A"&amp;(A682))+273)),2)</f>
        <v>#define MPU_NS_IC_POL_IDX1 0x01</v>
      </c>
    </row>
    <row r="683" spans="1:2" x14ac:dyDescent="0.25">
      <c r="A683">
        <f>A681+1</f>
        <v>182</v>
      </c>
      <c r="B683" s="18" t="str" cm="1">
        <f t="array" aca="1" ref="B683" ca="1">"#define MPU_NS_OC_RW_IDX"&amp;A678&amp;"  0x"&amp;DEC2HEX((32*INDIRECT("CONFIG_NS!A"&amp;(A683))+(16*INDIRECT("CONFIG_NS!A"&amp;(A683+1)))),2)</f>
        <v>#define MPU_NS_OC_RW_IDX1  0x00</v>
      </c>
    </row>
    <row r="684" spans="1:2" x14ac:dyDescent="0.25">
      <c r="A684">
        <f>A682+1</f>
        <v>185</v>
      </c>
      <c r="B684" s="18" t="str" cm="1">
        <f t="array" aca="1" ref="B684" ca="1">"#define MPU_NS_IC_RW_IDX"&amp;A678&amp;"  0x"&amp;DEC2HEX((2*INDIRECT("CONFIG_NS!A"&amp;(A684))+(1*INDIRECT("CONFIG_NS!A"&amp;(A684+1)))),2)</f>
        <v>#define MPU_NS_IC_RW_IDX1  0x00</v>
      </c>
    </row>
    <row r="685" spans="1:2" x14ac:dyDescent="0.25">
      <c r="B685" s="18" t="str">
        <f>"#if (MPU_NS_OC_POL_IDX"&amp;A678&amp;" == 0x10)"</f>
        <v>#if (MPU_NS_OC_POL_IDX1 == 0x10)</v>
      </c>
    </row>
    <row r="686" spans="1:2" x14ac:dyDescent="0.25">
      <c r="B686" s="18" t="str">
        <f>"#define MPU_NS_OUTERCACHE_IDX"&amp;A678&amp;" 0x40"</f>
        <v>#define MPU_NS_OUTERCACHE_IDX1 0x40</v>
      </c>
    </row>
    <row r="687" spans="1:2" x14ac:dyDescent="0.25">
      <c r="B687" s="18" t="s">
        <v>24</v>
      </c>
    </row>
    <row r="688" spans="1:2" x14ac:dyDescent="0.25">
      <c r="B688" s="18" t="str">
        <f>"#define MPU_NS_OUTERCACHE_IDX"&amp;A678&amp;" (MPU_NS_OC_POL_IDX"&amp;A678&amp;" | MPU_NS_OC_RW_IDX"&amp;A678&amp;")"</f>
        <v>#define MPU_NS_OUTERCACHE_IDX1 (MPU_NS_OC_POL_IDX1 | MPU_NS_OC_RW_IDX1)</v>
      </c>
    </row>
    <row r="689" spans="1:2" x14ac:dyDescent="0.25">
      <c r="B689" s="18" t="s">
        <v>25</v>
      </c>
    </row>
    <row r="690" spans="1:2" x14ac:dyDescent="0.25">
      <c r="B690" s="18" t="str">
        <f>"#if (MPU_NS_IC_POL_IDX"&amp;A678&amp;" == 0x01)"</f>
        <v>#if (MPU_NS_IC_POL_IDX1 == 0x01)</v>
      </c>
    </row>
    <row r="691" spans="1:2" x14ac:dyDescent="0.25">
      <c r="B691" s="18" t="str">
        <f>"#define MPU_NS_INNERCACHE_IDX"&amp;A678&amp;" 0x04"</f>
        <v>#define MPU_NS_INNERCACHE_IDX1 0x04</v>
      </c>
    </row>
    <row r="692" spans="1:2" x14ac:dyDescent="0.25">
      <c r="B692" s="18" t="s">
        <v>24</v>
      </c>
    </row>
    <row r="693" spans="1:2" x14ac:dyDescent="0.25">
      <c r="B693" s="18" t="str">
        <f>"#define MPU_NS_INNERCACHE_IDX"&amp;A678&amp;" (MPU_NS_IC_POL_IDX"&amp;A678&amp;" | MPU_NS_IC_RW_IDX"&amp;A678&amp;")"</f>
        <v>#define MPU_NS_INNERCACHE_IDX1 (MPU_NS_IC_POL_IDX1 | MPU_NS_IC_RW_IDX1)</v>
      </c>
    </row>
    <row r="694" spans="1:2" x14ac:dyDescent="0.25">
      <c r="B694" s="18" t="s">
        <v>25</v>
      </c>
    </row>
    <row r="695" spans="1:2" x14ac:dyDescent="0.25">
      <c r="B695" s="18" t="str">
        <f>"#if (MPU_NS_TYPE_IDX"&amp;A678&amp;" == 0x01)"</f>
        <v>#if (MPU_NS_TYPE_IDX1 == 0x01)</v>
      </c>
    </row>
    <row r="696" spans="1:2" x14ac:dyDescent="0.25">
      <c r="B696" s="18" t="str">
        <f>"#define MPU_NS_VAL_IDX"&amp;A678&amp;"        (MPU_NS_OUTERCACHE_IDX"&amp;A678&amp;" | MPU_NS_INNERCACHE_IDX"&amp;A678&amp;")"</f>
        <v>#define MPU_NS_VAL_IDX1        (MPU_NS_OUTERCACHE_IDX1 | MPU_NS_INNERCACHE_IDX1)</v>
      </c>
    </row>
    <row r="697" spans="1:2" x14ac:dyDescent="0.25">
      <c r="B697" s="18" t="s">
        <v>24</v>
      </c>
    </row>
    <row r="698" spans="1:2" x14ac:dyDescent="0.25">
      <c r="B698" s="18" t="str">
        <f>"#define MPU_NS_VAL_IDX"&amp;A678&amp;"        (MPU_NS_TYPE_IDX"&amp;A678&amp;")"</f>
        <v>#define MPU_NS_VAL_IDX1        (MPU_NS_TYPE_IDX1)</v>
      </c>
    </row>
    <row r="699" spans="1:2" x14ac:dyDescent="0.25">
      <c r="B699" s="18" t="s">
        <v>25</v>
      </c>
    </row>
    <row r="700" spans="1:2" x14ac:dyDescent="0.25">
      <c r="B700" s="18" t="s">
        <v>138</v>
      </c>
    </row>
    <row r="701" spans="1:2" x14ac:dyDescent="0.25">
      <c r="A701" s="27">
        <f>A678+1</f>
        <v>2</v>
      </c>
      <c r="B701" s="18" t="str">
        <f>"// MPU_NS IDX "&amp;A701&amp;" ********************************"</f>
        <v>// MPU_NS IDX 2 ********************************</v>
      </c>
    </row>
    <row r="702" spans="1:2" x14ac:dyDescent="0.25">
      <c r="A702" s="27">
        <f>A679+10</f>
        <v>188</v>
      </c>
      <c r="B702" s="18" t="str">
        <f ca="1">"#define MPU_NS_INIT_IDX"&amp;A701&amp;"   "&amp;N(INDIRECT("CONFIG_NS!A"&amp;A702))</f>
        <v>#define MPU_NS_INIT_IDX2   0</v>
      </c>
    </row>
    <row r="703" spans="1:2" x14ac:dyDescent="0.25">
      <c r="A703">
        <f>A702+2</f>
        <v>190</v>
      </c>
      <c r="B703" s="18" t="str" cm="1">
        <f t="array" aca="1" ref="B703" ca="1">"#define MPU_NS_TYPE_IDX"&amp;A701&amp;"   "&amp;"0x"&amp;DEC2HEX(HEX2DEC(INDIRECT("CONFIG_NS!A"&amp;INDIRECT("CONFIG_NS!A"&amp;(A703))+264)),2)</f>
        <v>#define MPU_NS_TYPE_IDX2   0x00</v>
      </c>
    </row>
    <row r="704" spans="1:2" x14ac:dyDescent="0.25">
      <c r="A704">
        <f>A703+1</f>
        <v>191</v>
      </c>
      <c r="B704" s="18" t="str" cm="1">
        <f t="array" aca="1" ref="B704" ca="1">"#define MPU_NS_OC_POL_IDX"&amp;A701&amp;" 0x"&amp;DEC2HEX(16*HEX2DEC(INDIRECT("CONFIG_NS!A"&amp;INDIRECT("CONFIG_NS!A"&amp;(A704))+273)),2)</f>
        <v>#define MPU_NS_OC_POL_IDX2 0x10</v>
      </c>
    </row>
    <row r="705" spans="1:2" x14ac:dyDescent="0.25">
      <c r="A705">
        <f>A704+3</f>
        <v>194</v>
      </c>
      <c r="B705" s="18" t="str" cm="1">
        <f t="array" aca="1" ref="B705" ca="1">"#define MPU_NS_IC_POL_IDX"&amp;A701&amp;" 0x"&amp;DEC2HEX(HEX2DEC(INDIRECT("CONFIG_NS!A"&amp;INDIRECT("CONFIG_NS!A"&amp;(A705))+273)),2)</f>
        <v>#define MPU_NS_IC_POL_IDX2 0x01</v>
      </c>
    </row>
    <row r="706" spans="1:2" x14ac:dyDescent="0.25">
      <c r="A706">
        <f>A704+1</f>
        <v>192</v>
      </c>
      <c r="B706" s="18" t="str" cm="1">
        <f t="array" aca="1" ref="B706" ca="1">"#define MPU_NS_OC_RW_IDX"&amp;A701&amp;"  0x"&amp;DEC2HEX((32*INDIRECT("CONFIG_NS!A"&amp;(A706))+(16*INDIRECT("CONFIG_NS!A"&amp;(A706+1)))),2)</f>
        <v>#define MPU_NS_OC_RW_IDX2  0x00</v>
      </c>
    </row>
    <row r="707" spans="1:2" x14ac:dyDescent="0.25">
      <c r="A707">
        <f>A705+1</f>
        <v>195</v>
      </c>
      <c r="B707" s="18" t="str" cm="1">
        <f t="array" aca="1" ref="B707" ca="1">"#define MPU_NS_IC_RW_IDX"&amp;A701&amp;"  0x"&amp;DEC2HEX((2*INDIRECT("CONFIG_NS!A"&amp;(A707))+(1*INDIRECT("CONFIG_NS!A"&amp;(A707+1)))),2)</f>
        <v>#define MPU_NS_IC_RW_IDX2  0x00</v>
      </c>
    </row>
    <row r="708" spans="1:2" x14ac:dyDescent="0.25">
      <c r="B708" s="18" t="str">
        <f>"#if (MPU_NS_OC_POL_IDX"&amp;A701&amp;" == 0x10)"</f>
        <v>#if (MPU_NS_OC_POL_IDX2 == 0x10)</v>
      </c>
    </row>
    <row r="709" spans="1:2" x14ac:dyDescent="0.25">
      <c r="B709" s="18" t="str">
        <f>"#define MPU_NS_OUTERCACHE_IDX"&amp;A701&amp;" 0x40"</f>
        <v>#define MPU_NS_OUTERCACHE_IDX2 0x40</v>
      </c>
    </row>
    <row r="710" spans="1:2" x14ac:dyDescent="0.25">
      <c r="B710" s="18" t="s">
        <v>24</v>
      </c>
    </row>
    <row r="711" spans="1:2" x14ac:dyDescent="0.25">
      <c r="B711" s="18" t="str">
        <f>"#define MPU_NS_OUTERCACHE_IDX"&amp;A701&amp;" (MPU_NS_OC_POL_IDX"&amp;A701&amp;" | MPU_NS_OC_RW_IDX"&amp;A701&amp;")"</f>
        <v>#define MPU_NS_OUTERCACHE_IDX2 (MPU_NS_OC_POL_IDX2 | MPU_NS_OC_RW_IDX2)</v>
      </c>
    </row>
    <row r="712" spans="1:2" x14ac:dyDescent="0.25">
      <c r="B712" s="18" t="s">
        <v>25</v>
      </c>
    </row>
    <row r="713" spans="1:2" x14ac:dyDescent="0.25">
      <c r="B713" s="18" t="str">
        <f>"#if (MPU_NS_IC_POL_IDX"&amp;A701&amp;" == 0x01)"</f>
        <v>#if (MPU_NS_IC_POL_IDX2 == 0x01)</v>
      </c>
    </row>
    <row r="714" spans="1:2" x14ac:dyDescent="0.25">
      <c r="B714" s="18" t="str">
        <f>"#define MPU_NS_INNERCACHE_IDX"&amp;A701&amp;" 0x04"</f>
        <v>#define MPU_NS_INNERCACHE_IDX2 0x04</v>
      </c>
    </row>
    <row r="715" spans="1:2" x14ac:dyDescent="0.25">
      <c r="B715" s="18" t="s">
        <v>24</v>
      </c>
    </row>
    <row r="716" spans="1:2" x14ac:dyDescent="0.25">
      <c r="B716" s="18" t="str">
        <f>"#define MPU_NS_INNERCACHE_IDX"&amp;A701&amp;" (MPU_NS_IC_POL_IDX"&amp;A701&amp;" | MPU_NS_IC_RW_IDX"&amp;A701&amp;")"</f>
        <v>#define MPU_NS_INNERCACHE_IDX2 (MPU_NS_IC_POL_IDX2 | MPU_NS_IC_RW_IDX2)</v>
      </c>
    </row>
    <row r="717" spans="1:2" x14ac:dyDescent="0.25">
      <c r="B717" s="18" t="s">
        <v>25</v>
      </c>
    </row>
    <row r="718" spans="1:2" x14ac:dyDescent="0.25">
      <c r="B718" s="18" t="str">
        <f>"#if (MPU_NS_TYPE_IDX"&amp;A701&amp;" == 0x01)"</f>
        <v>#if (MPU_NS_TYPE_IDX2 == 0x01)</v>
      </c>
    </row>
    <row r="719" spans="1:2" x14ac:dyDescent="0.25">
      <c r="B719" s="18" t="str">
        <f>"#define MPU_NS_VAL_IDX"&amp;A701&amp;"        (MPU_NS_OUTERCACHE_IDX"&amp;A701&amp;" | MPU_NS_INNERCACHE_IDX"&amp;A701&amp;")"</f>
        <v>#define MPU_NS_VAL_IDX2        (MPU_NS_OUTERCACHE_IDX2 | MPU_NS_INNERCACHE_IDX2)</v>
      </c>
    </row>
    <row r="720" spans="1:2" x14ac:dyDescent="0.25">
      <c r="B720" s="18" t="s">
        <v>24</v>
      </c>
    </row>
    <row r="721" spans="1:2" x14ac:dyDescent="0.25">
      <c r="B721" s="18" t="str">
        <f>"#define MPU_NS_VAL_IDX"&amp;A701&amp;"        (MPU_NS_TYPE_IDX"&amp;A701&amp;")"</f>
        <v>#define MPU_NS_VAL_IDX2        (MPU_NS_TYPE_IDX2)</v>
      </c>
    </row>
    <row r="722" spans="1:2" x14ac:dyDescent="0.25">
      <c r="B722" s="18" t="s">
        <v>25</v>
      </c>
    </row>
    <row r="723" spans="1:2" x14ac:dyDescent="0.25">
      <c r="B723" s="18" t="s">
        <v>138</v>
      </c>
    </row>
    <row r="724" spans="1:2" x14ac:dyDescent="0.25">
      <c r="A724" s="27">
        <f>A701+1</f>
        <v>3</v>
      </c>
      <c r="B724" s="18" t="str">
        <f>"// MPU_NS IDX "&amp;A724&amp;" ********************************"</f>
        <v>// MPU_NS IDX 3 ********************************</v>
      </c>
    </row>
    <row r="725" spans="1:2" x14ac:dyDescent="0.25">
      <c r="A725" s="27">
        <f>A702+10</f>
        <v>198</v>
      </c>
      <c r="B725" s="18" t="str">
        <f ca="1">"#define MPU_NS_INIT_IDX"&amp;A724&amp;"   "&amp;N(INDIRECT("CONFIG_NS!A"&amp;A725))</f>
        <v>#define MPU_NS_INIT_IDX3   0</v>
      </c>
    </row>
    <row r="726" spans="1:2" x14ac:dyDescent="0.25">
      <c r="A726">
        <f>A725+2</f>
        <v>200</v>
      </c>
      <c r="B726" s="18" t="str" cm="1">
        <f t="array" aca="1" ref="B726" ca="1">"#define MPU_NS_TYPE_IDX"&amp;A724&amp;"   "&amp;"0x"&amp;DEC2HEX(HEX2DEC(INDIRECT("CONFIG_NS!A"&amp;INDIRECT("CONFIG_NS!A"&amp;(A726))+264)),2)</f>
        <v>#define MPU_NS_TYPE_IDX3   0x01</v>
      </c>
    </row>
    <row r="727" spans="1:2" x14ac:dyDescent="0.25">
      <c r="A727">
        <f>A726+1</f>
        <v>201</v>
      </c>
      <c r="B727" s="18" t="str" cm="1">
        <f t="array" aca="1" ref="B727" ca="1">"#define MPU_NS_OC_POL_IDX"&amp;A724&amp;" 0x"&amp;DEC2HEX(16*HEX2DEC(INDIRECT("CONFIG_NS!A"&amp;INDIRECT("CONFIG_NS!A"&amp;(A727))+273)),2)</f>
        <v>#define MPU_NS_OC_POL_IDX3 0x10</v>
      </c>
    </row>
    <row r="728" spans="1:2" x14ac:dyDescent="0.25">
      <c r="A728">
        <f>A727+3</f>
        <v>204</v>
      </c>
      <c r="B728" s="18" t="str" cm="1">
        <f t="array" aca="1" ref="B728" ca="1">"#define MPU_NS_IC_POL_IDX"&amp;A724&amp;" 0x"&amp;DEC2HEX(HEX2DEC(INDIRECT("CONFIG_NS!A"&amp;INDIRECT("CONFIG_NS!A"&amp;(A728))+273)),2)</f>
        <v>#define MPU_NS_IC_POL_IDX3 0x01</v>
      </c>
    </row>
    <row r="729" spans="1:2" x14ac:dyDescent="0.25">
      <c r="A729">
        <f>A727+1</f>
        <v>202</v>
      </c>
      <c r="B729" s="18" t="str" cm="1">
        <f t="array" aca="1" ref="B729" ca="1">"#define MPU_NS_OC_RW_IDX"&amp;A724&amp;"  0x"&amp;DEC2HEX((32*INDIRECT("CONFIG_NS!A"&amp;(A729))+(16*INDIRECT("CONFIG_NS!A"&amp;(A729+1)))),2)</f>
        <v>#define MPU_NS_OC_RW_IDX3  0x00</v>
      </c>
    </row>
    <row r="730" spans="1:2" x14ac:dyDescent="0.25">
      <c r="A730">
        <f>A728+1</f>
        <v>205</v>
      </c>
      <c r="B730" s="18" t="str" cm="1">
        <f t="array" aca="1" ref="B730" ca="1">"#define MPU_NS_IC_RW_IDX"&amp;A724&amp;"  0x"&amp;DEC2HEX((2*INDIRECT("CONFIG_NS!A"&amp;(A730))+(1*INDIRECT("CONFIG_NS!A"&amp;(A730+1)))),2)</f>
        <v>#define MPU_NS_IC_RW_IDX3  0x00</v>
      </c>
    </row>
    <row r="731" spans="1:2" x14ac:dyDescent="0.25">
      <c r="B731" s="18" t="str">
        <f>"#if (MPU_NS_OC_POL_IDX"&amp;A724&amp;" == 0x10)"</f>
        <v>#if (MPU_NS_OC_POL_IDX3 == 0x10)</v>
      </c>
    </row>
    <row r="732" spans="1:2" x14ac:dyDescent="0.25">
      <c r="B732" s="18" t="str">
        <f>"#define MPU_NS_OUTERCACHE_IDX"&amp;A724&amp;" 0x40"</f>
        <v>#define MPU_NS_OUTERCACHE_IDX3 0x40</v>
      </c>
    </row>
    <row r="733" spans="1:2" x14ac:dyDescent="0.25">
      <c r="B733" s="18" t="s">
        <v>24</v>
      </c>
    </row>
    <row r="734" spans="1:2" x14ac:dyDescent="0.25">
      <c r="B734" s="18" t="str">
        <f>"#define MPU_NS_OUTERCACHE_IDX"&amp;A724&amp;" (MPU_NS_OC_POL_IDX"&amp;A724&amp;" | MPU_NS_OC_RW_IDX"&amp;A724&amp;")"</f>
        <v>#define MPU_NS_OUTERCACHE_IDX3 (MPU_NS_OC_POL_IDX3 | MPU_NS_OC_RW_IDX3)</v>
      </c>
    </row>
    <row r="735" spans="1:2" x14ac:dyDescent="0.25">
      <c r="B735" s="18" t="s">
        <v>25</v>
      </c>
    </row>
    <row r="736" spans="1:2" x14ac:dyDescent="0.25">
      <c r="B736" s="18" t="str">
        <f>"#if (MPU_NS_IC_POL_IDX"&amp;A724&amp;" == 0x01)"</f>
        <v>#if (MPU_NS_IC_POL_IDX3 == 0x01)</v>
      </c>
    </row>
    <row r="737" spans="1:2" x14ac:dyDescent="0.25">
      <c r="B737" s="18" t="str">
        <f>"#define MPU_NS_INNERCACHE_IDX"&amp;A724&amp;" 0x04"</f>
        <v>#define MPU_NS_INNERCACHE_IDX3 0x04</v>
      </c>
    </row>
    <row r="738" spans="1:2" x14ac:dyDescent="0.25">
      <c r="B738" s="18" t="s">
        <v>24</v>
      </c>
    </row>
    <row r="739" spans="1:2" x14ac:dyDescent="0.25">
      <c r="B739" s="18" t="str">
        <f>"#define MPU_NS_INNERCACHE_IDX"&amp;A724&amp;" (MPU_NS_IC_POL_IDX"&amp;A724&amp;" | MPU_NS_IC_RW_IDX"&amp;A724&amp;")"</f>
        <v>#define MPU_NS_INNERCACHE_IDX3 (MPU_NS_IC_POL_IDX3 | MPU_NS_IC_RW_IDX3)</v>
      </c>
    </row>
    <row r="740" spans="1:2" x14ac:dyDescent="0.25">
      <c r="B740" s="18" t="s">
        <v>25</v>
      </c>
    </row>
    <row r="741" spans="1:2" x14ac:dyDescent="0.25">
      <c r="B741" s="18" t="str">
        <f>"#if (MPU_NS_TYPE_IDX"&amp;A724&amp;" == 0x01)"</f>
        <v>#if (MPU_NS_TYPE_IDX3 == 0x01)</v>
      </c>
    </row>
    <row r="742" spans="1:2" x14ac:dyDescent="0.25">
      <c r="B742" s="18" t="str">
        <f>"#define MPU_NS_VAL_IDX"&amp;A724&amp;"        (MPU_NS_OUTERCACHE_IDX"&amp;A724&amp;" | MPU_NS_INNERCACHE_IDX"&amp;A724&amp;")"</f>
        <v>#define MPU_NS_VAL_IDX3        (MPU_NS_OUTERCACHE_IDX3 | MPU_NS_INNERCACHE_IDX3)</v>
      </c>
    </row>
    <row r="743" spans="1:2" x14ac:dyDescent="0.25">
      <c r="B743" s="18" t="s">
        <v>24</v>
      </c>
    </row>
    <row r="744" spans="1:2" x14ac:dyDescent="0.25">
      <c r="B744" s="18" t="str">
        <f>"#define MPU_NS_VAL_IDX"&amp;A724&amp;"        (MPU_NS_TYPE_IDX"&amp;A724&amp;")"</f>
        <v>#define MPU_NS_VAL_IDX3        (MPU_NS_TYPE_IDX3)</v>
      </c>
    </row>
    <row r="745" spans="1:2" x14ac:dyDescent="0.25">
      <c r="B745" s="18" t="s">
        <v>25</v>
      </c>
    </row>
    <row r="746" spans="1:2" x14ac:dyDescent="0.25">
      <c r="B746" s="18" t="s">
        <v>138</v>
      </c>
    </row>
    <row r="747" spans="1:2" x14ac:dyDescent="0.25">
      <c r="A747" s="27">
        <f>A724+1</f>
        <v>4</v>
      </c>
      <c r="B747" s="18" t="str">
        <f>"// MPU_NS IDX "&amp;A747&amp;" ********************************"</f>
        <v>// MPU_NS IDX 4 ********************************</v>
      </c>
    </row>
    <row r="748" spans="1:2" x14ac:dyDescent="0.25">
      <c r="A748" s="27">
        <f>A725+10</f>
        <v>208</v>
      </c>
      <c r="B748" s="18" t="str">
        <f ca="1">"#define MPU_NS_INIT_IDX"&amp;A747&amp;"   "&amp;N(INDIRECT("CONFIG_NS!A"&amp;A748))</f>
        <v>#define MPU_NS_INIT_IDX4   0</v>
      </c>
    </row>
    <row r="749" spans="1:2" x14ac:dyDescent="0.25">
      <c r="A749">
        <f>A748+2</f>
        <v>210</v>
      </c>
      <c r="B749" s="18" t="str" cm="1">
        <f t="array" aca="1" ref="B749" ca="1">"#define MPU_NS_TYPE_IDX"&amp;A747&amp;"   "&amp;"0x"&amp;DEC2HEX(HEX2DEC(INDIRECT("CONFIG_NS!A"&amp;INDIRECT("CONFIG_NS!A"&amp;(A749))+264)),2)</f>
        <v>#define MPU_NS_TYPE_IDX4   0x01</v>
      </c>
    </row>
    <row r="750" spans="1:2" x14ac:dyDescent="0.25">
      <c r="A750">
        <f>A749+1</f>
        <v>211</v>
      </c>
      <c r="B750" s="18" t="str" cm="1">
        <f t="array" aca="1" ref="B750" ca="1">"#define MPU_NS_OC_POL_IDX"&amp;A747&amp;" 0x"&amp;DEC2HEX(16*HEX2DEC(INDIRECT("CONFIG_NS!A"&amp;INDIRECT("CONFIG_NS!A"&amp;(A750))+273)),2)</f>
        <v>#define MPU_NS_OC_POL_IDX4 0x00</v>
      </c>
    </row>
    <row r="751" spans="1:2" x14ac:dyDescent="0.25">
      <c r="A751">
        <f>A750+3</f>
        <v>214</v>
      </c>
      <c r="B751" s="18" t="str" cm="1">
        <f t="array" aca="1" ref="B751" ca="1">"#define MPU_NS_IC_POL_IDX"&amp;A747&amp;" 0x"&amp;DEC2HEX(HEX2DEC(INDIRECT("CONFIG_NS!A"&amp;INDIRECT("CONFIG_NS!A"&amp;(A751))+273)),2)</f>
        <v>#define MPU_NS_IC_POL_IDX4 0x01</v>
      </c>
    </row>
    <row r="752" spans="1:2" x14ac:dyDescent="0.25">
      <c r="A752">
        <f>A750+1</f>
        <v>212</v>
      </c>
      <c r="B752" s="18" t="str" cm="1">
        <f t="array" aca="1" ref="B752" ca="1">"#define MPU_NS_OC_RW_IDX"&amp;A747&amp;"  0x"&amp;DEC2HEX((32*INDIRECT("CONFIG_NS!A"&amp;(A752))+(16*INDIRECT("CONFIG_NS!A"&amp;(A752+1)))),2)</f>
        <v>#define MPU_NS_OC_RW_IDX4  0x00</v>
      </c>
    </row>
    <row r="753" spans="1:2" x14ac:dyDescent="0.25">
      <c r="A753">
        <f>A751+1</f>
        <v>215</v>
      </c>
      <c r="B753" s="18" t="str" cm="1">
        <f t="array" aca="1" ref="B753" ca="1">"#define MPU_NS_IC_RW_IDX"&amp;A747&amp;"  0x"&amp;DEC2HEX((2*INDIRECT("CONFIG_NS!A"&amp;(A753))+(1*INDIRECT("CONFIG_NS!A"&amp;(A753+1)))),2)</f>
        <v>#define MPU_NS_IC_RW_IDX4  0x00</v>
      </c>
    </row>
    <row r="754" spans="1:2" x14ac:dyDescent="0.25">
      <c r="B754" s="18" t="str">
        <f>"#if (MPU_NS_OC_POL_IDX"&amp;A747&amp;" == 0x10)"</f>
        <v>#if (MPU_NS_OC_POL_IDX4 == 0x10)</v>
      </c>
    </row>
    <row r="755" spans="1:2" x14ac:dyDescent="0.25">
      <c r="B755" s="18" t="str">
        <f>"#define MPU_NS_OUTERCACHE_IDX"&amp;A747&amp;" 0x40"</f>
        <v>#define MPU_NS_OUTERCACHE_IDX4 0x40</v>
      </c>
    </row>
    <row r="756" spans="1:2" x14ac:dyDescent="0.25">
      <c r="B756" s="18" t="s">
        <v>24</v>
      </c>
    </row>
    <row r="757" spans="1:2" x14ac:dyDescent="0.25">
      <c r="B757" s="18" t="str">
        <f>"#define MPU_NS_OUTERCACHE_IDX"&amp;A747&amp;" (MPU_NS_OC_POL_IDX"&amp;A747&amp;" | MPU_NS_OC_RW_IDX"&amp;A747&amp;")"</f>
        <v>#define MPU_NS_OUTERCACHE_IDX4 (MPU_NS_OC_POL_IDX4 | MPU_NS_OC_RW_IDX4)</v>
      </c>
    </row>
    <row r="758" spans="1:2" x14ac:dyDescent="0.25">
      <c r="B758" s="18" t="s">
        <v>25</v>
      </c>
    </row>
    <row r="759" spans="1:2" x14ac:dyDescent="0.25">
      <c r="B759" s="18" t="str">
        <f>"#if (MPU_NS_IC_POL_IDX"&amp;A747&amp;" == 0x01)"</f>
        <v>#if (MPU_NS_IC_POL_IDX4 == 0x01)</v>
      </c>
    </row>
    <row r="760" spans="1:2" x14ac:dyDescent="0.25">
      <c r="B760" s="18" t="str">
        <f>"#define MPU_NS_INNERCACHE_IDX"&amp;A747&amp;" 0x04"</f>
        <v>#define MPU_NS_INNERCACHE_IDX4 0x04</v>
      </c>
    </row>
    <row r="761" spans="1:2" x14ac:dyDescent="0.25">
      <c r="B761" s="18" t="s">
        <v>24</v>
      </c>
    </row>
    <row r="762" spans="1:2" x14ac:dyDescent="0.25">
      <c r="B762" s="18" t="str">
        <f>"#define MPU_NS_INNERCACHE_IDX"&amp;A747&amp;" (MPU_NS_IC_POL_IDX"&amp;A747&amp;" | MPU_NS_IC_RW_IDX"&amp;A747&amp;")"</f>
        <v>#define MPU_NS_INNERCACHE_IDX4 (MPU_NS_IC_POL_IDX4 | MPU_NS_IC_RW_IDX4)</v>
      </c>
    </row>
    <row r="763" spans="1:2" x14ac:dyDescent="0.25">
      <c r="B763" s="18" t="s">
        <v>25</v>
      </c>
    </row>
    <row r="764" spans="1:2" x14ac:dyDescent="0.25">
      <c r="B764" s="18" t="str">
        <f>"#if (MPU_NS_TYPE_IDX"&amp;A747&amp;" == 0x01)"</f>
        <v>#if (MPU_NS_TYPE_IDX4 == 0x01)</v>
      </c>
    </row>
    <row r="765" spans="1:2" x14ac:dyDescent="0.25">
      <c r="B765" s="18" t="str">
        <f>"#define MPU_NS_VAL_IDX"&amp;A747&amp;"        (MPU_NS_OUTERCACHE_IDX"&amp;A747&amp;" | MPU_NS_INNERCACHE_IDX"&amp;A747&amp;")"</f>
        <v>#define MPU_NS_VAL_IDX4        (MPU_NS_OUTERCACHE_IDX4 | MPU_NS_INNERCACHE_IDX4)</v>
      </c>
    </row>
    <row r="766" spans="1:2" x14ac:dyDescent="0.25">
      <c r="B766" s="18" t="s">
        <v>24</v>
      </c>
    </row>
    <row r="767" spans="1:2" x14ac:dyDescent="0.25">
      <c r="B767" s="18" t="str">
        <f>"#define MPU_NS_VAL_IDX"&amp;A747&amp;"        (MPU_NS_TYPE_IDX"&amp;A747&amp;")"</f>
        <v>#define MPU_NS_VAL_IDX4        (MPU_NS_TYPE_IDX4)</v>
      </c>
    </row>
    <row r="768" spans="1:2" x14ac:dyDescent="0.25">
      <c r="B768" s="18" t="s">
        <v>25</v>
      </c>
    </row>
    <row r="769" spans="1:2" x14ac:dyDescent="0.25">
      <c r="B769" s="18" t="s">
        <v>138</v>
      </c>
    </row>
    <row r="770" spans="1:2" x14ac:dyDescent="0.25">
      <c r="A770" s="27">
        <f>A747+1</f>
        <v>5</v>
      </c>
      <c r="B770" s="18" t="str">
        <f>"// MPU_NS IDX "&amp;A770&amp;" ********************************"</f>
        <v>// MPU_NS IDX 5 ********************************</v>
      </c>
    </row>
    <row r="771" spans="1:2" x14ac:dyDescent="0.25">
      <c r="A771" s="27">
        <f>A748+10</f>
        <v>218</v>
      </c>
      <c r="B771" s="18" t="str">
        <f ca="1">"#define MPU_NS_INIT_IDX"&amp;A770&amp;"   "&amp;N(INDIRECT("CONFIG_NS!A"&amp;A771))</f>
        <v>#define MPU_NS_INIT_IDX5   0</v>
      </c>
    </row>
    <row r="772" spans="1:2" x14ac:dyDescent="0.25">
      <c r="A772">
        <f>A771+2</f>
        <v>220</v>
      </c>
      <c r="B772" s="18" t="str" cm="1">
        <f t="array" aca="1" ref="B772" ca="1">"#define MPU_NS_TYPE_IDX"&amp;A770&amp;"   "&amp;"0x"&amp;DEC2HEX(HEX2DEC(INDIRECT("CONFIG_NS!A"&amp;INDIRECT("CONFIG_NS!A"&amp;(A772))+264)),2)</f>
        <v>#define MPU_NS_TYPE_IDX5   0x01</v>
      </c>
    </row>
    <row r="773" spans="1:2" x14ac:dyDescent="0.25">
      <c r="A773">
        <f>A772+1</f>
        <v>221</v>
      </c>
      <c r="B773" s="18" t="str" cm="1">
        <f t="array" aca="1" ref="B773" ca="1">"#define MPU_NS_OC_POL_IDX"&amp;A770&amp;" 0x"&amp;DEC2HEX(16*HEX2DEC(INDIRECT("CONFIG_NS!A"&amp;INDIRECT("CONFIG_NS!A"&amp;(A773))+273)),2)</f>
        <v>#define MPU_NS_OC_POL_IDX5 0x10</v>
      </c>
    </row>
    <row r="774" spans="1:2" x14ac:dyDescent="0.25">
      <c r="A774">
        <f>A773+3</f>
        <v>224</v>
      </c>
      <c r="B774" s="18" t="str" cm="1">
        <f t="array" aca="1" ref="B774" ca="1">"#define MPU_NS_IC_POL_IDX"&amp;A770&amp;" 0x"&amp;DEC2HEX(HEX2DEC(INDIRECT("CONFIG_NS!A"&amp;INDIRECT("CONFIG_NS!A"&amp;(A774))+273)),2)</f>
        <v>#define MPU_NS_IC_POL_IDX5 0x01</v>
      </c>
    </row>
    <row r="775" spans="1:2" x14ac:dyDescent="0.25">
      <c r="A775">
        <f>A773+1</f>
        <v>222</v>
      </c>
      <c r="B775" s="18" t="str" cm="1">
        <f t="array" aca="1" ref="B775" ca="1">"#define MPU_NS_OC_RW_IDX"&amp;A770&amp;"  0x"&amp;DEC2HEX((32*INDIRECT("CONFIG_NS!A"&amp;(A775))+(16*INDIRECT("CONFIG_NS!A"&amp;(A775+1)))),2)</f>
        <v>#define MPU_NS_OC_RW_IDX5  0x00</v>
      </c>
    </row>
    <row r="776" spans="1:2" x14ac:dyDescent="0.25">
      <c r="A776">
        <f>A774+1</f>
        <v>225</v>
      </c>
      <c r="B776" s="18" t="str" cm="1">
        <f t="array" aca="1" ref="B776" ca="1">"#define MPU_NS_IC_RW_IDX"&amp;A770&amp;"  0x"&amp;DEC2HEX((2*INDIRECT("CONFIG_NS!A"&amp;(A776))+(1*INDIRECT("CONFIG_NS!A"&amp;(A776+1)))),2)</f>
        <v>#define MPU_NS_IC_RW_IDX5  0x00</v>
      </c>
    </row>
    <row r="777" spans="1:2" x14ac:dyDescent="0.25">
      <c r="B777" s="18" t="str">
        <f>"#if (MPU_NS_OC_POL_IDX"&amp;A770&amp;" == 0x10)"</f>
        <v>#if (MPU_NS_OC_POL_IDX5 == 0x10)</v>
      </c>
    </row>
    <row r="778" spans="1:2" x14ac:dyDescent="0.25">
      <c r="B778" s="18" t="str">
        <f>"#define MPU_NS_OUTERCACHE_IDX"&amp;A770&amp;" 0x40"</f>
        <v>#define MPU_NS_OUTERCACHE_IDX5 0x40</v>
      </c>
    </row>
    <row r="779" spans="1:2" x14ac:dyDescent="0.25">
      <c r="B779" s="18" t="s">
        <v>24</v>
      </c>
    </row>
    <row r="780" spans="1:2" x14ac:dyDescent="0.25">
      <c r="B780" s="18" t="str">
        <f>"#define MPU_NS_OUTERCACHE_IDX"&amp;A770&amp;" (MPU_NS_OC_POL_IDX"&amp;A770&amp;" | MPU_NS_OC_RW_IDX"&amp;A770&amp;")"</f>
        <v>#define MPU_NS_OUTERCACHE_IDX5 (MPU_NS_OC_POL_IDX5 | MPU_NS_OC_RW_IDX5)</v>
      </c>
    </row>
    <row r="781" spans="1:2" x14ac:dyDescent="0.25">
      <c r="B781" s="18" t="s">
        <v>25</v>
      </c>
    </row>
    <row r="782" spans="1:2" x14ac:dyDescent="0.25">
      <c r="B782" s="18" t="str">
        <f>"#if (MPU_NS_IC_POL_IDX"&amp;A770&amp;" == 0x01)"</f>
        <v>#if (MPU_NS_IC_POL_IDX5 == 0x01)</v>
      </c>
    </row>
    <row r="783" spans="1:2" x14ac:dyDescent="0.25">
      <c r="B783" s="18" t="str">
        <f>"#define MPU_NS_INNERCACHE_IDX"&amp;A770&amp;" 0x04"</f>
        <v>#define MPU_NS_INNERCACHE_IDX5 0x04</v>
      </c>
    </row>
    <row r="784" spans="1:2" x14ac:dyDescent="0.25">
      <c r="B784" s="18" t="s">
        <v>24</v>
      </c>
    </row>
    <row r="785" spans="1:2" x14ac:dyDescent="0.25">
      <c r="B785" s="18" t="str">
        <f>"#define MPU_NS_INNERCACHE_IDX"&amp;A770&amp;" (MPU_NS_IC_POL_IDX"&amp;A770&amp;" | MPU_NS_IC_RW_IDX"&amp;A770&amp;")"</f>
        <v>#define MPU_NS_INNERCACHE_IDX5 (MPU_NS_IC_POL_IDX5 | MPU_NS_IC_RW_IDX5)</v>
      </c>
    </row>
    <row r="786" spans="1:2" x14ac:dyDescent="0.25">
      <c r="B786" s="18" t="s">
        <v>25</v>
      </c>
    </row>
    <row r="787" spans="1:2" x14ac:dyDescent="0.25">
      <c r="B787" s="18" t="str">
        <f>"#if (MPU_NS_TYPE_IDX"&amp;A770&amp;" == 0x01)"</f>
        <v>#if (MPU_NS_TYPE_IDX5 == 0x01)</v>
      </c>
    </row>
    <row r="788" spans="1:2" x14ac:dyDescent="0.25">
      <c r="B788" s="18" t="str">
        <f>"#define MPU_NS_VAL_IDX"&amp;A770&amp;"        (MPU_NS_OUTERCACHE_IDX"&amp;A770&amp;" | MPU_NS_INNERCACHE_IDX"&amp;A770&amp;")"</f>
        <v>#define MPU_NS_VAL_IDX5        (MPU_NS_OUTERCACHE_IDX5 | MPU_NS_INNERCACHE_IDX5)</v>
      </c>
    </row>
    <row r="789" spans="1:2" x14ac:dyDescent="0.25">
      <c r="B789" s="18" t="s">
        <v>24</v>
      </c>
    </row>
    <row r="790" spans="1:2" x14ac:dyDescent="0.25">
      <c r="B790" s="18" t="str">
        <f>"#define MPU_NS_VAL_IDX"&amp;A770&amp;"        (MPU_NS_TYPE_IDX"&amp;A770&amp;")"</f>
        <v>#define MPU_NS_VAL_IDX5        (MPU_NS_TYPE_IDX5)</v>
      </c>
    </row>
    <row r="791" spans="1:2" x14ac:dyDescent="0.25">
      <c r="B791" s="18" t="s">
        <v>25</v>
      </c>
    </row>
    <row r="792" spans="1:2" x14ac:dyDescent="0.25">
      <c r="B792" s="18" t="s">
        <v>138</v>
      </c>
    </row>
    <row r="793" spans="1:2" x14ac:dyDescent="0.25">
      <c r="A793" s="27">
        <f>A770+1</f>
        <v>6</v>
      </c>
      <c r="B793" s="18" t="str">
        <f>"// MPU_NS IDX "&amp;A793&amp;" ********************************"</f>
        <v>// MPU_NS IDX 6 ********************************</v>
      </c>
    </row>
    <row r="794" spans="1:2" x14ac:dyDescent="0.25">
      <c r="A794" s="27">
        <f>A771+10</f>
        <v>228</v>
      </c>
      <c r="B794" s="18" t="str">
        <f ca="1">"#define MPU_NS_INIT_IDX"&amp;A793&amp;"   "&amp;N(INDIRECT("CONFIG_NS!A"&amp;A794))</f>
        <v>#define MPU_NS_INIT_IDX6   0</v>
      </c>
    </row>
    <row r="795" spans="1:2" x14ac:dyDescent="0.25">
      <c r="A795">
        <f>A794+2</f>
        <v>230</v>
      </c>
      <c r="B795" s="18" t="str" cm="1">
        <f t="array" aca="1" ref="B795" ca="1">"#define MPU_NS_TYPE_IDX"&amp;A793&amp;"   "&amp;"0x"&amp;DEC2HEX(HEX2DEC(INDIRECT("CONFIG_NS!A"&amp;INDIRECT("CONFIG_NS!A"&amp;(A795))+264)),2)</f>
        <v>#define MPU_NS_TYPE_IDX6   0x01</v>
      </c>
    </row>
    <row r="796" spans="1:2" x14ac:dyDescent="0.25">
      <c r="A796">
        <f>A795+1</f>
        <v>231</v>
      </c>
      <c r="B796" s="18" t="str" cm="1">
        <f t="array" aca="1" ref="B796" ca="1">"#define MPU_NS_OC_POL_IDX"&amp;A793&amp;" 0x"&amp;DEC2HEX(16*HEX2DEC(INDIRECT("CONFIG_NS!A"&amp;INDIRECT("CONFIG_NS!A"&amp;(A796))+273)),2)</f>
        <v>#define MPU_NS_OC_POL_IDX6 0x10</v>
      </c>
    </row>
    <row r="797" spans="1:2" x14ac:dyDescent="0.25">
      <c r="A797">
        <f>A796+3</f>
        <v>234</v>
      </c>
      <c r="B797" s="18" t="str" cm="1">
        <f t="array" aca="1" ref="B797" ca="1">"#define MPU_NS_IC_POL_IDX"&amp;A793&amp;" 0x"&amp;DEC2HEX(HEX2DEC(INDIRECT("CONFIG_NS!A"&amp;INDIRECT("CONFIG_NS!A"&amp;(A797))+273)),2)</f>
        <v>#define MPU_NS_IC_POL_IDX6 0x01</v>
      </c>
    </row>
    <row r="798" spans="1:2" x14ac:dyDescent="0.25">
      <c r="A798">
        <f>A796+1</f>
        <v>232</v>
      </c>
      <c r="B798" s="18" t="str" cm="1">
        <f t="array" aca="1" ref="B798" ca="1">"#define MPU_NS_OC_RW_IDX"&amp;A793&amp;"  0x"&amp;DEC2HEX((32*INDIRECT("CONFIG_NS!A"&amp;(A798))+(16*INDIRECT("CONFIG_NS!A"&amp;(A798+1)))),2)</f>
        <v>#define MPU_NS_OC_RW_IDX6  0x00</v>
      </c>
    </row>
    <row r="799" spans="1:2" x14ac:dyDescent="0.25">
      <c r="A799">
        <f>A797+1</f>
        <v>235</v>
      </c>
      <c r="B799" s="18" t="str" cm="1">
        <f t="array" aca="1" ref="B799" ca="1">"#define MPU_NS_IC_RW_IDX"&amp;A793&amp;"  0x"&amp;DEC2HEX((2*INDIRECT("CONFIG_NS!A"&amp;(A799))+(1*INDIRECT("CONFIG_NS!A"&amp;(A799+1)))),2)</f>
        <v>#define MPU_NS_IC_RW_IDX6  0x00</v>
      </c>
    </row>
    <row r="800" spans="1:2" x14ac:dyDescent="0.25">
      <c r="B800" s="18" t="str">
        <f>"#if (MPU_NS_OC_POL_IDX"&amp;A793&amp;" == 0x10)"</f>
        <v>#if (MPU_NS_OC_POL_IDX6 == 0x10)</v>
      </c>
    </row>
    <row r="801" spans="1:2" x14ac:dyDescent="0.25">
      <c r="B801" s="18" t="str">
        <f>"#define MPU_NS_OUTERCACHE_IDX"&amp;A793&amp;" 0x40"</f>
        <v>#define MPU_NS_OUTERCACHE_IDX6 0x40</v>
      </c>
    </row>
    <row r="802" spans="1:2" x14ac:dyDescent="0.25">
      <c r="B802" s="18" t="s">
        <v>24</v>
      </c>
    </row>
    <row r="803" spans="1:2" x14ac:dyDescent="0.25">
      <c r="B803" s="18" t="str">
        <f>"#define MPU_NS_OUTERCACHE_IDX"&amp;A793&amp;" (MPU_NS_OC_POL_IDX"&amp;A793&amp;" | MPU_NS_OC_RW_IDX"&amp;A793&amp;")"</f>
        <v>#define MPU_NS_OUTERCACHE_IDX6 (MPU_NS_OC_POL_IDX6 | MPU_NS_OC_RW_IDX6)</v>
      </c>
    </row>
    <row r="804" spans="1:2" x14ac:dyDescent="0.25">
      <c r="B804" s="18" t="s">
        <v>25</v>
      </c>
    </row>
    <row r="805" spans="1:2" x14ac:dyDescent="0.25">
      <c r="B805" s="18" t="str">
        <f>"#if (MPU_NS_IC_POL_IDX"&amp;A793&amp;" == 0x01)"</f>
        <v>#if (MPU_NS_IC_POL_IDX6 == 0x01)</v>
      </c>
    </row>
    <row r="806" spans="1:2" x14ac:dyDescent="0.25">
      <c r="B806" s="18" t="str">
        <f>"#define MPU_NS_INNERCACHE_IDX"&amp;A793&amp;" 0x04"</f>
        <v>#define MPU_NS_INNERCACHE_IDX6 0x04</v>
      </c>
    </row>
    <row r="807" spans="1:2" x14ac:dyDescent="0.25">
      <c r="B807" s="18" t="s">
        <v>24</v>
      </c>
    </row>
    <row r="808" spans="1:2" x14ac:dyDescent="0.25">
      <c r="B808" s="18" t="str">
        <f>"#define MPU_NS_INNERCACHE_IDX"&amp;A793&amp;" (MPU_NS_IC_POL_IDX"&amp;A793&amp;" | MPU_NS_IC_RW_IDX"&amp;A793&amp;")"</f>
        <v>#define MPU_NS_INNERCACHE_IDX6 (MPU_NS_IC_POL_IDX6 | MPU_NS_IC_RW_IDX6)</v>
      </c>
    </row>
    <row r="809" spans="1:2" x14ac:dyDescent="0.25">
      <c r="B809" s="18" t="s">
        <v>25</v>
      </c>
    </row>
    <row r="810" spans="1:2" x14ac:dyDescent="0.25">
      <c r="B810" s="18" t="str">
        <f>"#if (MPU_NS_TYPE_IDX"&amp;A793&amp;" == 0x01)"</f>
        <v>#if (MPU_NS_TYPE_IDX6 == 0x01)</v>
      </c>
    </row>
    <row r="811" spans="1:2" x14ac:dyDescent="0.25">
      <c r="B811" s="18" t="str">
        <f>"#define MPU_NS_VAL_IDX"&amp;A793&amp;"        (MPU_NS_OUTERCACHE_IDX"&amp;A793&amp;" | MPU_NS_INNERCACHE_IDX"&amp;A793&amp;")"</f>
        <v>#define MPU_NS_VAL_IDX6        (MPU_NS_OUTERCACHE_IDX6 | MPU_NS_INNERCACHE_IDX6)</v>
      </c>
    </row>
    <row r="812" spans="1:2" x14ac:dyDescent="0.25">
      <c r="B812" s="18" t="s">
        <v>24</v>
      </c>
    </row>
    <row r="813" spans="1:2" x14ac:dyDescent="0.25">
      <c r="B813" s="18" t="str">
        <f>"#define MPU_NS_VAL_IDX"&amp;A793&amp;"        (MPU_NS_TYPE_IDX"&amp;A793&amp;")"</f>
        <v>#define MPU_NS_VAL_IDX6        (MPU_NS_TYPE_IDX6)</v>
      </c>
    </row>
    <row r="814" spans="1:2" x14ac:dyDescent="0.25">
      <c r="B814" s="18" t="s">
        <v>25</v>
      </c>
    </row>
    <row r="815" spans="1:2" x14ac:dyDescent="0.25">
      <c r="B815" s="18" t="s">
        <v>138</v>
      </c>
    </row>
    <row r="816" spans="1:2" x14ac:dyDescent="0.25">
      <c r="A816" s="27">
        <f>A793+1</f>
        <v>7</v>
      </c>
      <c r="B816" s="18" t="str">
        <f>"// MPU_NS IDX "&amp;A816&amp;" ********************************"</f>
        <v>// MPU_NS IDX 7 ********************************</v>
      </c>
    </row>
    <row r="817" spans="1:2" x14ac:dyDescent="0.25">
      <c r="A817" s="27">
        <f>A794+10</f>
        <v>238</v>
      </c>
      <c r="B817" s="18" t="str">
        <f ca="1">"#define MPU_NS_INIT_IDX"&amp;A816&amp;"   "&amp;N(INDIRECT("CONFIG_NS!A"&amp;A817))</f>
        <v>#define MPU_NS_INIT_IDX7   0</v>
      </c>
    </row>
    <row r="818" spans="1:2" x14ac:dyDescent="0.25">
      <c r="A818">
        <f>A817+2</f>
        <v>240</v>
      </c>
      <c r="B818" s="18" t="str" cm="1">
        <f t="array" aca="1" ref="B818" ca="1">"#define MPU_NS_TYPE_IDX"&amp;A816&amp;"   "&amp;"0x"&amp;DEC2HEX(HEX2DEC(INDIRECT("CONFIG_NS!A"&amp;INDIRECT("CONFIG_NS!A"&amp;(A818))+264)),2)</f>
        <v>#define MPU_NS_TYPE_IDX7   0x01</v>
      </c>
    </row>
    <row r="819" spans="1:2" x14ac:dyDescent="0.25">
      <c r="A819">
        <f>A818+1</f>
        <v>241</v>
      </c>
      <c r="B819" s="18" t="str" cm="1">
        <f t="array" aca="1" ref="B819" ca="1">"#define MPU_NS_OC_POL_IDX"&amp;A816&amp;" 0x"&amp;DEC2HEX(16*HEX2DEC(INDIRECT("CONFIG_NS!A"&amp;INDIRECT("CONFIG_NS!A"&amp;(A819))+273)),2)</f>
        <v>#define MPU_NS_OC_POL_IDX7 0x10</v>
      </c>
    </row>
    <row r="820" spans="1:2" x14ac:dyDescent="0.25">
      <c r="A820">
        <f>A819+3</f>
        <v>244</v>
      </c>
      <c r="B820" s="18" t="str" cm="1">
        <f t="array" aca="1" ref="B820" ca="1">"#define MPU_NS_IC_POL_IDX"&amp;A816&amp;" 0x"&amp;DEC2HEX(HEX2DEC(INDIRECT("CONFIG_NS!A"&amp;INDIRECT("CONFIG_NS!A"&amp;(A820))+273)),2)</f>
        <v>#define MPU_NS_IC_POL_IDX7 0x01</v>
      </c>
    </row>
    <row r="821" spans="1:2" x14ac:dyDescent="0.25">
      <c r="A821">
        <f>A819+1</f>
        <v>242</v>
      </c>
      <c r="B821" s="18" t="str" cm="1">
        <f t="array" aca="1" ref="B821" ca="1">"#define MPU_NS_OC_RW_IDX"&amp;A816&amp;"  0x"&amp;DEC2HEX((32*INDIRECT("CONFIG_NS!A"&amp;(A821))+(16*INDIRECT("CONFIG_NS!A"&amp;(A821+1)))),2)</f>
        <v>#define MPU_NS_OC_RW_IDX7  0x00</v>
      </c>
    </row>
    <row r="822" spans="1:2" x14ac:dyDescent="0.25">
      <c r="A822">
        <f>A820+1</f>
        <v>245</v>
      </c>
      <c r="B822" s="18" t="str" cm="1">
        <f t="array" aca="1" ref="B822" ca="1">"#define MPU_NS_IC_RW_IDX"&amp;A816&amp;"  0x"&amp;DEC2HEX((2*INDIRECT("CONFIG_NS!A"&amp;(A822))+(1*INDIRECT("CONFIG_NS!A"&amp;(A822+1)))),2)</f>
        <v>#define MPU_NS_IC_RW_IDX7  0x00</v>
      </c>
    </row>
    <row r="823" spans="1:2" x14ac:dyDescent="0.25">
      <c r="B823" s="18" t="str">
        <f>"#if (MPU_NS_OC_POL_IDX"&amp;A816&amp;" == 0x10)"</f>
        <v>#if (MPU_NS_OC_POL_IDX7 == 0x10)</v>
      </c>
    </row>
    <row r="824" spans="1:2" x14ac:dyDescent="0.25">
      <c r="B824" s="18" t="str">
        <f>"#define MPU_NS_OUTERCACHE_IDX"&amp;A816&amp;" 0x40"</f>
        <v>#define MPU_NS_OUTERCACHE_IDX7 0x40</v>
      </c>
    </row>
    <row r="825" spans="1:2" x14ac:dyDescent="0.25">
      <c r="B825" s="18" t="s">
        <v>24</v>
      </c>
    </row>
    <row r="826" spans="1:2" x14ac:dyDescent="0.25">
      <c r="B826" s="18" t="str">
        <f>"#define MPU_NS_OUTERCACHE_IDX"&amp;A816&amp;" (MPU_NS_OC_POL_IDX"&amp;A816&amp;" | MPU_NS_OC_RW_IDX"&amp;A816&amp;")"</f>
        <v>#define MPU_NS_OUTERCACHE_IDX7 (MPU_NS_OC_POL_IDX7 | MPU_NS_OC_RW_IDX7)</v>
      </c>
    </row>
    <row r="827" spans="1:2" x14ac:dyDescent="0.25">
      <c r="B827" s="18" t="s">
        <v>25</v>
      </c>
    </row>
    <row r="828" spans="1:2" x14ac:dyDescent="0.25">
      <c r="B828" s="18" t="str">
        <f>"#if (MPU_NS_IC_POL_IDX"&amp;A816&amp;" == 0x01)"</f>
        <v>#if (MPU_NS_IC_POL_IDX7 == 0x01)</v>
      </c>
    </row>
    <row r="829" spans="1:2" x14ac:dyDescent="0.25">
      <c r="B829" s="18" t="str">
        <f>"#define MPU_NS_INNERCACHE_IDX"&amp;A816&amp;" 0x04"</f>
        <v>#define MPU_NS_INNERCACHE_IDX7 0x04</v>
      </c>
    </row>
    <row r="830" spans="1:2" x14ac:dyDescent="0.25">
      <c r="B830" s="18" t="s">
        <v>24</v>
      </c>
    </row>
    <row r="831" spans="1:2" x14ac:dyDescent="0.25">
      <c r="B831" s="18" t="str">
        <f>"#define MPU_NS_INNERCACHE_IDX"&amp;A816&amp;" (MPU_NS_IC_POL_IDX"&amp;A816&amp;" | MPU_NS_IC_RW_IDX"&amp;A816&amp;")"</f>
        <v>#define MPU_NS_INNERCACHE_IDX7 (MPU_NS_IC_POL_IDX7 | MPU_NS_IC_RW_IDX7)</v>
      </c>
    </row>
    <row r="832" spans="1:2" x14ac:dyDescent="0.25">
      <c r="B832" s="18" t="s">
        <v>25</v>
      </c>
    </row>
    <row r="833" spans="2:2" x14ac:dyDescent="0.25">
      <c r="B833" s="18" t="str">
        <f>"#if (MPU_NS_TYPE_IDX"&amp;A816&amp;" == 0x01)"</f>
        <v>#if (MPU_NS_TYPE_IDX7 == 0x01)</v>
      </c>
    </row>
    <row r="834" spans="2:2" x14ac:dyDescent="0.25">
      <c r="B834" s="18" t="str">
        <f>"#define MPU_NS_VAL_IDX"&amp;A816&amp;"        (MPU_NS_OUTERCACHE_IDX"&amp;A816&amp;" | MPU_NS_INNERCACHE_IDX"&amp;A816&amp;")"</f>
        <v>#define MPU_NS_VAL_IDX7        (MPU_NS_OUTERCACHE_IDX7 | MPU_NS_INNERCACHE_IDX7)</v>
      </c>
    </row>
    <row r="835" spans="2:2" x14ac:dyDescent="0.25">
      <c r="B835" s="18" t="s">
        <v>24</v>
      </c>
    </row>
    <row r="836" spans="2:2" x14ac:dyDescent="0.25">
      <c r="B836" s="18" t="str">
        <f>"#define MPU_NS_VAL_IDX"&amp;A816&amp;"        (MPU_NS_TYPE_IDX"&amp;A816&amp;")"</f>
        <v>#define MPU_NS_VAL_IDX7        (MPU_NS_TYPE_IDX7)</v>
      </c>
    </row>
    <row r="837" spans="2:2" x14ac:dyDescent="0.25">
      <c r="B837" s="18" t="s">
        <v>25</v>
      </c>
    </row>
    <row r="838" spans="2:2" x14ac:dyDescent="0.25">
      <c r="B838" s="18" t="s">
        <v>138</v>
      </c>
    </row>
    <row r="839" spans="2:2" x14ac:dyDescent="0.25">
      <c r="B839" s="18" t="s">
        <v>0</v>
      </c>
    </row>
    <row r="840" spans="2:2" x14ac:dyDescent="0.25">
      <c r="B840" s="18" t="s">
        <v>223</v>
      </c>
    </row>
    <row r="841" spans="2:2" x14ac:dyDescent="0.25">
      <c r="B841" s="18" t="s">
        <v>0</v>
      </c>
    </row>
    <row r="842" spans="2:2" x14ac:dyDescent="0.25">
      <c r="B842" s="18" t="s">
        <v>246</v>
      </c>
    </row>
    <row r="843" spans="2:2" x14ac:dyDescent="0.25">
      <c r="B843" s="18" t="s">
        <v>195</v>
      </c>
    </row>
    <row r="844" spans="2:2" x14ac:dyDescent="0.25">
      <c r="B844" s="18" t="s">
        <v>144</v>
      </c>
    </row>
    <row r="845" spans="2:2" x14ac:dyDescent="0.25">
      <c r="B845" s="18" t="s">
        <v>145</v>
      </c>
    </row>
    <row r="846" spans="2:2" x14ac:dyDescent="0.25">
      <c r="B846" s="18" t="s">
        <v>64</v>
      </c>
    </row>
    <row r="847" spans="2:2" x14ac:dyDescent="0.25">
      <c r="B847" s="18" t="s">
        <v>224</v>
      </c>
    </row>
    <row r="848" spans="2:2" x14ac:dyDescent="0.25">
      <c r="B848" s="18" t="s">
        <v>225</v>
      </c>
    </row>
    <row r="849" spans="2:2" x14ac:dyDescent="0.25">
      <c r="B849" s="18" t="s">
        <v>146</v>
      </c>
    </row>
    <row r="850" spans="2:2" x14ac:dyDescent="0.25">
      <c r="B850" s="18" t="s">
        <v>177</v>
      </c>
    </row>
    <row r="851" spans="2:2" x14ac:dyDescent="0.25">
      <c r="B851" s="18" t="s">
        <v>218</v>
      </c>
    </row>
    <row r="852" spans="2:2" x14ac:dyDescent="0.25">
      <c r="B852" s="18" t="s">
        <v>145</v>
      </c>
    </row>
    <row r="853" spans="2:2" x14ac:dyDescent="0.25">
      <c r="B853" s="18" t="s">
        <v>178</v>
      </c>
    </row>
    <row r="854" spans="2:2" x14ac:dyDescent="0.25">
      <c r="B854" s="18" t="s">
        <v>226</v>
      </c>
    </row>
    <row r="855" spans="2:2" x14ac:dyDescent="0.25">
      <c r="B855" s="18" t="s">
        <v>227</v>
      </c>
    </row>
    <row r="856" spans="2:2" x14ac:dyDescent="0.25">
      <c r="B856" s="18" t="s">
        <v>146</v>
      </c>
    </row>
    <row r="857" spans="2:2" x14ac:dyDescent="0.25">
      <c r="B857" s="18" t="s">
        <v>247</v>
      </c>
    </row>
    <row r="858" spans="2:2" x14ac:dyDescent="0.25">
      <c r="B858" s="18" t="s">
        <v>195</v>
      </c>
    </row>
    <row r="859" spans="2:2" x14ac:dyDescent="0.25">
      <c r="B859" s="18" t="s">
        <v>144</v>
      </c>
    </row>
    <row r="860" spans="2:2" x14ac:dyDescent="0.25">
      <c r="B860" s="18" t="s">
        <v>145</v>
      </c>
    </row>
    <row r="861" spans="2:2" x14ac:dyDescent="0.25">
      <c r="B861" s="18" t="s">
        <v>64</v>
      </c>
    </row>
    <row r="862" spans="2:2" x14ac:dyDescent="0.25">
      <c r="B862" s="18" t="s">
        <v>224</v>
      </c>
    </row>
    <row r="863" spans="2:2" x14ac:dyDescent="0.25">
      <c r="B863" s="18" t="s">
        <v>248</v>
      </c>
    </row>
    <row r="864" spans="2:2" x14ac:dyDescent="0.25">
      <c r="B864" s="18" t="s">
        <v>146</v>
      </c>
    </row>
    <row r="865" spans="2:2" x14ac:dyDescent="0.25">
      <c r="B865" s="18" t="s">
        <v>177</v>
      </c>
    </row>
    <row r="866" spans="2:2" x14ac:dyDescent="0.25">
      <c r="B866" s="18" t="s">
        <v>218</v>
      </c>
    </row>
    <row r="867" spans="2:2" x14ac:dyDescent="0.25">
      <c r="B867" s="18" t="s">
        <v>145</v>
      </c>
    </row>
    <row r="868" spans="2:2" x14ac:dyDescent="0.25">
      <c r="B868" s="18" t="s">
        <v>178</v>
      </c>
    </row>
    <row r="869" spans="2:2" x14ac:dyDescent="0.25">
      <c r="B869" s="18" t="s">
        <v>226</v>
      </c>
    </row>
    <row r="870" spans="2:2" x14ac:dyDescent="0.25">
      <c r="B870" s="18" t="s">
        <v>249</v>
      </c>
    </row>
    <row r="871" spans="2:2" x14ac:dyDescent="0.25">
      <c r="B871" s="18" t="s">
        <v>146</v>
      </c>
    </row>
    <row r="872" spans="2:2" x14ac:dyDescent="0.25">
      <c r="B872" s="18" t="s">
        <v>250</v>
      </c>
    </row>
    <row r="873" spans="2:2" x14ac:dyDescent="0.25">
      <c r="B873" s="18" t="s">
        <v>138</v>
      </c>
    </row>
    <row r="874" spans="2:2" x14ac:dyDescent="0.25">
      <c r="B874" s="18" t="s">
        <v>199</v>
      </c>
    </row>
    <row r="875" spans="2:2" x14ac:dyDescent="0.25">
      <c r="B875" s="18" t="s">
        <v>173</v>
      </c>
    </row>
    <row r="876" spans="2:2" x14ac:dyDescent="0.25">
      <c r="B876" s="18" t="s">
        <v>63</v>
      </c>
    </row>
    <row r="877" spans="2:2" x14ac:dyDescent="0.25">
      <c r="B877" s="18" t="s">
        <v>31</v>
      </c>
    </row>
    <row r="878" spans="2:2" x14ac:dyDescent="0.25">
      <c r="B878" s="18" t="s">
        <v>219</v>
      </c>
    </row>
    <row r="879" spans="2:2" x14ac:dyDescent="0.25">
      <c r="B879" s="18" t="s">
        <v>200</v>
      </c>
    </row>
    <row r="880" spans="2:2" x14ac:dyDescent="0.25">
      <c r="B880" s="18" t="s">
        <v>30</v>
      </c>
    </row>
    <row r="881" spans="1:2" x14ac:dyDescent="0.25">
      <c r="B881" s="18" t="s">
        <v>207</v>
      </c>
    </row>
    <row r="882" spans="1:2" x14ac:dyDescent="0.25">
      <c r="A882">
        <v>0</v>
      </c>
      <c r="B882" s="18" t="str">
        <f>"  #if defined (MPU_S_INIT_IDX"&amp;A882&amp;") &amp;&amp; (MPU_S_INIT_IDX"&amp;A882&amp;" == 1U)"</f>
        <v xml:space="preserve">  #if defined (MPU_S_INIT_IDX0) &amp;&amp; (MPU_S_INIT_IDX0 == 1U)</v>
      </c>
    </row>
    <row r="883" spans="1:2" x14ac:dyDescent="0.25">
      <c r="B883" s="18" t="str">
        <f>"    ARM_MPU_SetMemAttr("&amp;A882&amp;",MPU_S_VAL_IDX"&amp;A882&amp;");"</f>
        <v xml:space="preserve">    ARM_MPU_SetMemAttr(0,MPU_S_VAL_IDX0);</v>
      </c>
    </row>
    <row r="884" spans="1:2" x14ac:dyDescent="0.25">
      <c r="B884" s="18" t="s">
        <v>32</v>
      </c>
    </row>
    <row r="885" spans="1:2" x14ac:dyDescent="0.25">
      <c r="A885">
        <f>A882+1</f>
        <v>1</v>
      </c>
      <c r="B885" s="18" t="str">
        <f>"  #if defined (MPU_S_INIT_IDX"&amp;A885&amp;") &amp;&amp; (MPU_S_INIT_IDX"&amp;A885&amp;" == 1U)"</f>
        <v xml:space="preserve">  #if defined (MPU_S_INIT_IDX1) &amp;&amp; (MPU_S_INIT_IDX1 == 1U)</v>
      </c>
    </row>
    <row r="886" spans="1:2" x14ac:dyDescent="0.25">
      <c r="B886" s="18" t="str">
        <f>"    ARM_MPU_SetMemAttr("&amp;A885&amp;",MPU_S_VAL_IDX"&amp;A885&amp;");"</f>
        <v xml:space="preserve">    ARM_MPU_SetMemAttr(1,MPU_S_VAL_IDX1);</v>
      </c>
    </row>
    <row r="887" spans="1:2" x14ac:dyDescent="0.25">
      <c r="B887" s="18" t="s">
        <v>32</v>
      </c>
    </row>
    <row r="888" spans="1:2" x14ac:dyDescent="0.25">
      <c r="A888">
        <f>A885+1</f>
        <v>2</v>
      </c>
      <c r="B888" s="18" t="str">
        <f>"  #if defined (MPU_S_INIT_IDX"&amp;A888&amp;") &amp;&amp; (MPU_S_INIT_IDX"&amp;A888&amp;" == 1U)"</f>
        <v xml:space="preserve">  #if defined (MPU_S_INIT_IDX2) &amp;&amp; (MPU_S_INIT_IDX2 == 1U)</v>
      </c>
    </row>
    <row r="889" spans="1:2" x14ac:dyDescent="0.25">
      <c r="B889" s="18" t="str">
        <f>"    ARM_MPU_SetMemAttr("&amp;A888&amp;",MPU_S_VAL_IDX"&amp;A888&amp;");"</f>
        <v xml:space="preserve">    ARM_MPU_SetMemAttr(2,MPU_S_VAL_IDX2);</v>
      </c>
    </row>
    <row r="890" spans="1:2" x14ac:dyDescent="0.25">
      <c r="B890" s="18" t="s">
        <v>32</v>
      </c>
    </row>
    <row r="891" spans="1:2" x14ac:dyDescent="0.25">
      <c r="A891">
        <f>A888+1</f>
        <v>3</v>
      </c>
      <c r="B891" s="18" t="str">
        <f>"  #if defined (MPU_S_INIT_IDX"&amp;A891&amp;") &amp;&amp; (MPU_S_INIT_IDX"&amp;A891&amp;" == 1U)"</f>
        <v xml:space="preserve">  #if defined (MPU_S_INIT_IDX3) &amp;&amp; (MPU_S_INIT_IDX3 == 1U)</v>
      </c>
    </row>
    <row r="892" spans="1:2" x14ac:dyDescent="0.25">
      <c r="B892" s="18" t="str">
        <f>"    ARM_MPU_SetMemAttr("&amp;A891&amp;",MPU_S_VAL_IDX"&amp;A891&amp;");"</f>
        <v xml:space="preserve">    ARM_MPU_SetMemAttr(3,MPU_S_VAL_IDX3);</v>
      </c>
    </row>
    <row r="893" spans="1:2" x14ac:dyDescent="0.25">
      <c r="B893" s="18" t="s">
        <v>32</v>
      </c>
    </row>
    <row r="894" spans="1:2" x14ac:dyDescent="0.25">
      <c r="A894">
        <f>A891+1</f>
        <v>4</v>
      </c>
      <c r="B894" s="18" t="str">
        <f>"  #if defined (MPU_S_INIT_IDX"&amp;A894&amp;") &amp;&amp; (MPU_S_INIT_IDX"&amp;A894&amp;" == 1U)"</f>
        <v xml:space="preserve">  #if defined (MPU_S_INIT_IDX4) &amp;&amp; (MPU_S_INIT_IDX4 == 1U)</v>
      </c>
    </row>
    <row r="895" spans="1:2" x14ac:dyDescent="0.25">
      <c r="B895" s="18" t="str">
        <f>"    ARM_MPU_SetMemAttr("&amp;A894&amp;",MPU_S_VAL_IDX"&amp;A894&amp;");"</f>
        <v xml:space="preserve">    ARM_MPU_SetMemAttr(4,MPU_S_VAL_IDX4);</v>
      </c>
    </row>
    <row r="896" spans="1:2" x14ac:dyDescent="0.25">
      <c r="B896" s="18" t="s">
        <v>32</v>
      </c>
    </row>
    <row r="897" spans="1:2" x14ac:dyDescent="0.25">
      <c r="A897">
        <f>A894+1</f>
        <v>5</v>
      </c>
      <c r="B897" s="18" t="str">
        <f>"  #if defined (MPU_S_INIT_IDX"&amp;A897&amp;") &amp;&amp; (MPU_S_INIT_IDX"&amp;A897&amp;" == 1U)"</f>
        <v xml:space="preserve">  #if defined (MPU_S_INIT_IDX5) &amp;&amp; (MPU_S_INIT_IDX5 == 1U)</v>
      </c>
    </row>
    <row r="898" spans="1:2" x14ac:dyDescent="0.25">
      <c r="B898" s="18" t="str">
        <f>"    ARM_MPU_SetMemAttr("&amp;A897&amp;",MPU_S_VAL_IDX"&amp;A897&amp;");"</f>
        <v xml:space="preserve">    ARM_MPU_SetMemAttr(5,MPU_S_VAL_IDX5);</v>
      </c>
    </row>
    <row r="899" spans="1:2" x14ac:dyDescent="0.25">
      <c r="B899" s="18" t="s">
        <v>32</v>
      </c>
    </row>
    <row r="900" spans="1:2" x14ac:dyDescent="0.25">
      <c r="A900">
        <f>A897+1</f>
        <v>6</v>
      </c>
      <c r="B900" s="18" t="str">
        <f>"  #if defined (MPU_S_INIT_IDX"&amp;A900&amp;") &amp;&amp; (MPU_S_INIT_IDX"&amp;A900&amp;" == 1U)"</f>
        <v xml:space="preserve">  #if defined (MPU_S_INIT_IDX6) &amp;&amp; (MPU_S_INIT_IDX6 == 1U)</v>
      </c>
    </row>
    <row r="901" spans="1:2" x14ac:dyDescent="0.25">
      <c r="B901" s="18" t="str">
        <f>"    ARM_MPU_SetMemAttr("&amp;A900&amp;",MPU_S_VAL_IDX"&amp;A900&amp;");"</f>
        <v xml:space="preserve">    ARM_MPU_SetMemAttr(6,MPU_S_VAL_IDX6);</v>
      </c>
    </row>
    <row r="902" spans="1:2" x14ac:dyDescent="0.25">
      <c r="B902" s="18" t="s">
        <v>32</v>
      </c>
    </row>
    <row r="903" spans="1:2" x14ac:dyDescent="0.25">
      <c r="A903">
        <f>A900+1</f>
        <v>7</v>
      </c>
      <c r="B903" s="18" t="str">
        <f>"  #if defined (MPU_S_INIT_IDX"&amp;A903&amp;") &amp;&amp; (MPU_S_INIT_IDX"&amp;A903&amp;" == 1U)"</f>
        <v xml:space="preserve">  #if defined (MPU_S_INIT_IDX7) &amp;&amp; (MPU_S_INIT_IDX7 == 1U)</v>
      </c>
    </row>
    <row r="904" spans="1:2" x14ac:dyDescent="0.25">
      <c r="B904" s="18" t="str">
        <f>"    ARM_MPU_SetMemAttr("&amp;A903&amp;",MPU_S_VAL_IDX"&amp;A903&amp;");"</f>
        <v xml:space="preserve">    ARM_MPU_SetMemAttr(7,MPU_S_VAL_IDX7);</v>
      </c>
    </row>
    <row r="905" spans="1:2" x14ac:dyDescent="0.25">
      <c r="B905" s="18" t="s">
        <v>32</v>
      </c>
    </row>
    <row r="906" spans="1:2" x14ac:dyDescent="0.25">
      <c r="B906" s="18" t="s">
        <v>112</v>
      </c>
    </row>
    <row r="907" spans="1:2" x14ac:dyDescent="0.25">
      <c r="A907">
        <v>0</v>
      </c>
      <c r="B907" s="18" t="str">
        <f>"  #if defined (MPU_S_CONFIG_REG"&amp;A907&amp;") &amp;&amp; (MPU_S_CONFIG_REG"&amp;A907&amp;" == 1U)"</f>
        <v xml:space="preserve">  #if defined (MPU_S_CONFIG_REG0) &amp;&amp; (MPU_S_CONFIG_REG0 == 1U)</v>
      </c>
    </row>
    <row r="908" spans="1:2" x14ac:dyDescent="0.25">
      <c r="B908" s="18" t="str">
        <f>"    MPU_S_CONFIG_REGION("&amp;A907&amp;");"</f>
        <v xml:space="preserve">    MPU_S_CONFIG_REGION(0);</v>
      </c>
    </row>
    <row r="909" spans="1:2" x14ac:dyDescent="0.25">
      <c r="B909" s="18" t="s">
        <v>32</v>
      </c>
    </row>
    <row r="910" spans="1:2" x14ac:dyDescent="0.25">
      <c r="A910">
        <v>1</v>
      </c>
      <c r="B910" s="18" t="str">
        <f>"  #if defined (MPU_S_CONFIG_REG"&amp;A910&amp;") &amp;&amp; (MPU_S_CONFIG_REG"&amp;A910&amp;" == 1U)"</f>
        <v xml:space="preserve">  #if defined (MPU_S_CONFIG_REG1) &amp;&amp; (MPU_S_CONFIG_REG1 == 1U)</v>
      </c>
    </row>
    <row r="911" spans="1:2" x14ac:dyDescent="0.25">
      <c r="B911" s="18" t="str">
        <f>"    MPU_S_CONFIG_REGION("&amp;A910&amp;");"</f>
        <v xml:space="preserve">    MPU_S_CONFIG_REGION(1);</v>
      </c>
    </row>
    <row r="912" spans="1:2" x14ac:dyDescent="0.25">
      <c r="B912" s="18" t="s">
        <v>32</v>
      </c>
    </row>
    <row r="913" spans="1:2" x14ac:dyDescent="0.25">
      <c r="A913">
        <v>2</v>
      </c>
      <c r="B913" s="18" t="str">
        <f>"  #if defined (MPU_S_CONFIG_REG"&amp;A913&amp;") &amp;&amp; (MPU_S_CONFIG_REG"&amp;A913&amp;" == 1U)"</f>
        <v xml:space="preserve">  #if defined (MPU_S_CONFIG_REG2) &amp;&amp; (MPU_S_CONFIG_REG2 == 1U)</v>
      </c>
    </row>
    <row r="914" spans="1:2" x14ac:dyDescent="0.25">
      <c r="B914" s="18" t="str">
        <f>"    MPU_S_CONFIG_REGION("&amp;A913&amp;");"</f>
        <v xml:space="preserve">    MPU_S_CONFIG_REGION(2);</v>
      </c>
    </row>
    <row r="915" spans="1:2" x14ac:dyDescent="0.25">
      <c r="B915" s="18" t="s">
        <v>32</v>
      </c>
    </row>
    <row r="916" spans="1:2" x14ac:dyDescent="0.25">
      <c r="A916">
        <v>3</v>
      </c>
      <c r="B916" s="18" t="str">
        <f>"  #if defined (MPU_S_CONFIG_REG"&amp;A916&amp;") &amp;&amp; (MPU_S_CONFIG_REG"&amp;A916&amp;" == 1U)"</f>
        <v xml:space="preserve">  #if defined (MPU_S_CONFIG_REG3) &amp;&amp; (MPU_S_CONFIG_REG3 == 1U)</v>
      </c>
    </row>
    <row r="917" spans="1:2" x14ac:dyDescent="0.25">
      <c r="B917" s="18" t="str">
        <f>"    MPU_S_CONFIG_REGION("&amp;A916&amp;");"</f>
        <v xml:space="preserve">    MPU_S_CONFIG_REGION(3);</v>
      </c>
    </row>
    <row r="918" spans="1:2" x14ac:dyDescent="0.25">
      <c r="B918" s="18" t="s">
        <v>32</v>
      </c>
    </row>
    <row r="919" spans="1:2" x14ac:dyDescent="0.25">
      <c r="A919">
        <v>4</v>
      </c>
      <c r="B919" s="18" t="str">
        <f>"  #if defined (MPU_S_CONFIG_REG"&amp;A919&amp;") &amp;&amp; (MPU_S_CONFIG_REG"&amp;A919&amp;" == 1U)"</f>
        <v xml:space="preserve">  #if defined (MPU_S_CONFIG_REG4) &amp;&amp; (MPU_S_CONFIG_REG4 == 1U)</v>
      </c>
    </row>
    <row r="920" spans="1:2" x14ac:dyDescent="0.25">
      <c r="B920" s="18" t="str">
        <f>"    MPU_S_CONFIG_REGION("&amp;A919&amp;");"</f>
        <v xml:space="preserve">    MPU_S_CONFIG_REGION(4);</v>
      </c>
    </row>
    <row r="921" spans="1:2" x14ac:dyDescent="0.25">
      <c r="B921" s="18" t="s">
        <v>32</v>
      </c>
    </row>
    <row r="922" spans="1:2" x14ac:dyDescent="0.25">
      <c r="A922">
        <v>5</v>
      </c>
      <c r="B922" s="18" t="str">
        <f>"  #if defined (MPU_S_CONFIG_REG"&amp;A922&amp;") &amp;&amp; (MPU_S_CONFIG_REG"&amp;A922&amp;" == 1U)"</f>
        <v xml:space="preserve">  #if defined (MPU_S_CONFIG_REG5) &amp;&amp; (MPU_S_CONFIG_REG5 == 1U)</v>
      </c>
    </row>
    <row r="923" spans="1:2" x14ac:dyDescent="0.25">
      <c r="B923" s="18" t="str">
        <f>"    MPU_S_CONFIG_REGION("&amp;A922&amp;");"</f>
        <v xml:space="preserve">    MPU_S_CONFIG_REGION(5);</v>
      </c>
    </row>
    <row r="924" spans="1:2" x14ac:dyDescent="0.25">
      <c r="B924" s="18" t="s">
        <v>32</v>
      </c>
    </row>
    <row r="925" spans="1:2" x14ac:dyDescent="0.25">
      <c r="A925">
        <v>6</v>
      </c>
      <c r="B925" s="18" t="str">
        <f>"  #if defined (MPU_S_CONFIG_REG"&amp;A925&amp;") &amp;&amp; (MPU_S_CONFIG_REG"&amp;A925&amp;" == 1U)"</f>
        <v xml:space="preserve">  #if defined (MPU_S_CONFIG_REG6) &amp;&amp; (MPU_S_CONFIG_REG6 == 1U)</v>
      </c>
    </row>
    <row r="926" spans="1:2" x14ac:dyDescent="0.25">
      <c r="B926" s="18" t="str">
        <f>"    MPU_S_CONFIG_REGION("&amp;A925&amp;");"</f>
        <v xml:space="preserve">    MPU_S_CONFIG_REGION(6);</v>
      </c>
    </row>
    <row r="927" spans="1:2" x14ac:dyDescent="0.25">
      <c r="B927" s="18" t="s">
        <v>32</v>
      </c>
    </row>
    <row r="928" spans="1:2" x14ac:dyDescent="0.25">
      <c r="A928">
        <v>7</v>
      </c>
      <c r="B928" s="18" t="str">
        <f>"  #if defined (MPU_S_CONFIG_REG"&amp;A928&amp;") &amp;&amp; (MPU_S_CONFIG_REG"&amp;A928&amp;" == 1U)"</f>
        <v xml:space="preserve">  #if defined (MPU_S_CONFIG_REG7) &amp;&amp; (MPU_S_CONFIG_REG7 == 1U)</v>
      </c>
    </row>
    <row r="929" spans="1:2" x14ac:dyDescent="0.25">
      <c r="B929" s="18" t="str">
        <f>"    MPU_S_CONFIG_REGION("&amp;A928&amp;");"</f>
        <v xml:space="preserve">    MPU_S_CONFIG_REGION(7);</v>
      </c>
    </row>
    <row r="930" spans="1:2" x14ac:dyDescent="0.25">
      <c r="B930" s="18" t="s">
        <v>32</v>
      </c>
    </row>
    <row r="931" spans="1:2" x14ac:dyDescent="0.25">
      <c r="A931">
        <v>8</v>
      </c>
      <c r="B931" s="18" t="str">
        <f>"  #if defined (MPU_S_CONFIG_REG"&amp;A931&amp;") &amp;&amp; (MPU_S_CONFIG_REG"&amp;A931&amp;" == 1U)"</f>
        <v xml:space="preserve">  #if defined (MPU_S_CONFIG_REG8) &amp;&amp; (MPU_S_CONFIG_REG8 == 1U)</v>
      </c>
    </row>
    <row r="932" spans="1:2" x14ac:dyDescent="0.25">
      <c r="B932" s="18" t="str">
        <f>"    MPU_S_CONFIG_REGION("&amp;A931&amp;");"</f>
        <v xml:space="preserve">    MPU_S_CONFIG_REGION(8);</v>
      </c>
    </row>
    <row r="933" spans="1:2" x14ac:dyDescent="0.25">
      <c r="B933" s="18" t="s">
        <v>32</v>
      </c>
    </row>
    <row r="934" spans="1:2" x14ac:dyDescent="0.25">
      <c r="A934">
        <v>9</v>
      </c>
      <c r="B934" s="18" t="str">
        <f>"  #if defined (MPU_S_CONFIG_REG"&amp;A934&amp;") &amp;&amp; (MPU_S_CONFIG_REG"&amp;A934&amp;" == 1U)"</f>
        <v xml:space="preserve">  #if defined (MPU_S_CONFIG_REG9) &amp;&amp; (MPU_S_CONFIG_REG9 == 1U)</v>
      </c>
    </row>
    <row r="935" spans="1:2" x14ac:dyDescent="0.25">
      <c r="B935" s="18" t="str">
        <f>"    MPU_S_CONFIG_REGION("&amp;A934&amp;");"</f>
        <v xml:space="preserve">    MPU_S_CONFIG_REGION(9);</v>
      </c>
    </row>
    <row r="936" spans="1:2" x14ac:dyDescent="0.25">
      <c r="B936" s="18" t="s">
        <v>32</v>
      </c>
    </row>
    <row r="937" spans="1:2" x14ac:dyDescent="0.25">
      <c r="A937">
        <v>10</v>
      </c>
      <c r="B937" s="18" t="str">
        <f>"  #if defined (MPU_S_CONFIG_REG"&amp;A937&amp;") &amp;&amp; (MPU_S_CONFIG_REG"&amp;A937&amp;" == 1U)"</f>
        <v xml:space="preserve">  #if defined (MPU_S_CONFIG_REG10) &amp;&amp; (MPU_S_CONFIG_REG10 == 1U)</v>
      </c>
    </row>
    <row r="938" spans="1:2" x14ac:dyDescent="0.25">
      <c r="B938" s="18" t="str">
        <f>"    MPU_S_CONFIG_REGION("&amp;A937&amp;");"</f>
        <v xml:space="preserve">    MPU_S_CONFIG_REGION(10);</v>
      </c>
    </row>
    <row r="939" spans="1:2" x14ac:dyDescent="0.25">
      <c r="B939" s="18" t="s">
        <v>32</v>
      </c>
    </row>
    <row r="940" spans="1:2" x14ac:dyDescent="0.25">
      <c r="A940">
        <v>11</v>
      </c>
      <c r="B940" s="18" t="str">
        <f>"  #if defined (MPU_S_CONFIG_REG"&amp;A940&amp;") &amp;&amp; (MPU_S_CONFIG_REG"&amp;A940&amp;" == 1U)"</f>
        <v xml:space="preserve">  #if defined (MPU_S_CONFIG_REG11) &amp;&amp; (MPU_S_CONFIG_REG11 == 1U)</v>
      </c>
    </row>
    <row r="941" spans="1:2" x14ac:dyDescent="0.25">
      <c r="B941" s="18" t="str">
        <f>"    MPU_S_CONFIG_REGION("&amp;A940&amp;");"</f>
        <v xml:space="preserve">    MPU_S_CONFIG_REGION(11);</v>
      </c>
    </row>
    <row r="942" spans="1:2" x14ac:dyDescent="0.25">
      <c r="B942" s="18" t="s">
        <v>32</v>
      </c>
    </row>
    <row r="943" spans="1:2" x14ac:dyDescent="0.25">
      <c r="A943">
        <v>12</v>
      </c>
      <c r="B943" s="18" t="str">
        <f>"  #if defined (MPU_S_CONFIG_REG"&amp;A943&amp;") &amp;&amp; (MPU_S_CONFIG_REG"&amp;A943&amp;" == 1U)"</f>
        <v xml:space="preserve">  #if defined (MPU_S_CONFIG_REG12) &amp;&amp; (MPU_S_CONFIG_REG12 == 1U)</v>
      </c>
    </row>
    <row r="944" spans="1:2" x14ac:dyDescent="0.25">
      <c r="B944" s="18" t="str">
        <f>"    MPU_S_CONFIG_REGION("&amp;A943&amp;");"</f>
        <v xml:space="preserve">    MPU_S_CONFIG_REGION(12);</v>
      </c>
    </row>
    <row r="945" spans="1:2" x14ac:dyDescent="0.25">
      <c r="B945" s="18" t="s">
        <v>32</v>
      </c>
    </row>
    <row r="946" spans="1:2" x14ac:dyDescent="0.25">
      <c r="A946">
        <v>13</v>
      </c>
      <c r="B946" s="18" t="str">
        <f>"  #if defined (MPU_S_CONFIG_REG"&amp;A946&amp;") &amp;&amp; (MPU_S_CONFIG_REG"&amp;A946&amp;" == 1U)"</f>
        <v xml:space="preserve">  #if defined (MPU_S_CONFIG_REG13) &amp;&amp; (MPU_S_CONFIG_REG13 == 1U)</v>
      </c>
    </row>
    <row r="947" spans="1:2" x14ac:dyDescent="0.25">
      <c r="B947" s="18" t="str">
        <f>"    MPU_S_CONFIG_REGION("&amp;A946&amp;");"</f>
        <v xml:space="preserve">    MPU_S_CONFIG_REGION(13);</v>
      </c>
    </row>
    <row r="948" spans="1:2" x14ac:dyDescent="0.25">
      <c r="B948" s="18" t="s">
        <v>32</v>
      </c>
    </row>
    <row r="949" spans="1:2" x14ac:dyDescent="0.25">
      <c r="A949">
        <v>14</v>
      </c>
      <c r="B949" s="18" t="str">
        <f>"  #if defined (MPU_S_CONFIG_REG"&amp;A949&amp;") &amp;&amp; (MPU_S_CONFIG_REG"&amp;A949&amp;" == 1U)"</f>
        <v xml:space="preserve">  #if defined (MPU_S_CONFIG_REG14) &amp;&amp; (MPU_S_CONFIG_REG14 == 1U)</v>
      </c>
    </row>
    <row r="950" spans="1:2" x14ac:dyDescent="0.25">
      <c r="B950" s="18" t="str">
        <f>"    MPU_S_CONFIG_REGION("&amp;A949&amp;");"</f>
        <v xml:space="preserve">    MPU_S_CONFIG_REGION(14);</v>
      </c>
    </row>
    <row r="951" spans="1:2" x14ac:dyDescent="0.25">
      <c r="B951" s="18" t="s">
        <v>32</v>
      </c>
    </row>
    <row r="952" spans="1:2" x14ac:dyDescent="0.25">
      <c r="A952">
        <v>15</v>
      </c>
      <c r="B952" s="18" t="str">
        <f>"  #if defined (MPU_S_CONFIG_REG"&amp;A952&amp;") &amp;&amp; (MPU_S_CONFIG_REG"&amp;A952&amp;" == 1U)"</f>
        <v xml:space="preserve">  #if defined (MPU_S_CONFIG_REG15) &amp;&amp; (MPU_S_CONFIG_REG15 == 1U)</v>
      </c>
    </row>
    <row r="953" spans="1:2" x14ac:dyDescent="0.25">
      <c r="B953" s="18" t="str">
        <f>"    MPU_S_CONFIG_REGION("&amp;A952&amp;");"</f>
        <v xml:space="preserve">    MPU_S_CONFIG_REGION(15);</v>
      </c>
    </row>
    <row r="954" spans="1:2" x14ac:dyDescent="0.25">
      <c r="B954" s="18" t="s">
        <v>32</v>
      </c>
    </row>
    <row r="955" spans="1:2" x14ac:dyDescent="0.25">
      <c r="B955" s="18" t="s">
        <v>201</v>
      </c>
    </row>
    <row r="956" spans="1:2" x14ac:dyDescent="0.25">
      <c r="B956" s="18" t="s">
        <v>202</v>
      </c>
    </row>
    <row r="957" spans="1:2" x14ac:dyDescent="0.25">
      <c r="B957" s="18" t="s">
        <v>33</v>
      </c>
    </row>
    <row r="958" spans="1:2" x14ac:dyDescent="0.25">
      <c r="B958" s="18" t="s">
        <v>196</v>
      </c>
    </row>
    <row r="959" spans="1:2" x14ac:dyDescent="0.25">
      <c r="B959" s="18" t="s">
        <v>138</v>
      </c>
    </row>
    <row r="960" spans="1:2" x14ac:dyDescent="0.25">
      <c r="B960" s="18" t="s">
        <v>257</v>
      </c>
    </row>
    <row r="961" spans="1:2" x14ac:dyDescent="0.25">
      <c r="B961" s="18" t="s">
        <v>184</v>
      </c>
    </row>
    <row r="962" spans="1:2" x14ac:dyDescent="0.25">
      <c r="B962" s="18" t="s">
        <v>175</v>
      </c>
    </row>
    <row r="963" spans="1:2" x14ac:dyDescent="0.25">
      <c r="B963" s="18" t="s">
        <v>176</v>
      </c>
    </row>
    <row r="964" spans="1:2" x14ac:dyDescent="0.25">
      <c r="B964" s="18" t="s">
        <v>220</v>
      </c>
    </row>
    <row r="965" spans="1:2" x14ac:dyDescent="0.25">
      <c r="B965" s="18" t="s">
        <v>185</v>
      </c>
    </row>
    <row r="966" spans="1:2" x14ac:dyDescent="0.25">
      <c r="B966" s="18" t="s">
        <v>30</v>
      </c>
    </row>
    <row r="967" spans="1:2" x14ac:dyDescent="0.25">
      <c r="B967" s="18" t="s">
        <v>208</v>
      </c>
    </row>
    <row r="968" spans="1:2" x14ac:dyDescent="0.25">
      <c r="A968">
        <v>0</v>
      </c>
      <c r="B968" s="18" t="str">
        <f>"  #if defined (MPU_NS_INIT_IDX"&amp;A968&amp;") &amp;&amp; (MPU_NS_INIT_IDX"&amp;A968&amp;" == 1U)"</f>
        <v xml:space="preserve">  #if defined (MPU_NS_INIT_IDX0) &amp;&amp; (MPU_NS_INIT_IDX0 == 1U)</v>
      </c>
    </row>
    <row r="969" spans="1:2" x14ac:dyDescent="0.25">
      <c r="B969" s="18" t="str">
        <f>"    ARM_MPU_SetMemAttr_NS("&amp;A968&amp;",MPU_NS_VAL_IDX"&amp;A968&amp;");"</f>
        <v xml:space="preserve">    ARM_MPU_SetMemAttr_NS(0,MPU_NS_VAL_IDX0);</v>
      </c>
    </row>
    <row r="970" spans="1:2" x14ac:dyDescent="0.25">
      <c r="B970" s="18" t="s">
        <v>32</v>
      </c>
    </row>
    <row r="971" spans="1:2" x14ac:dyDescent="0.25">
      <c r="A971">
        <f>A968+1</f>
        <v>1</v>
      </c>
      <c r="B971" s="18" t="str">
        <f>"  #if defined (MPU_NS_INIT_IDX"&amp;A971&amp;") &amp;&amp; (MPU_NS_INIT_IDX"&amp;A971&amp;" == 1U)"</f>
        <v xml:space="preserve">  #if defined (MPU_NS_INIT_IDX1) &amp;&amp; (MPU_NS_INIT_IDX1 == 1U)</v>
      </c>
    </row>
    <row r="972" spans="1:2" x14ac:dyDescent="0.25">
      <c r="B972" s="18" t="str">
        <f>"    ARM_MPU_SetMemAttr_NS("&amp;A971&amp;",MPU_NS_VAL_IDX"&amp;A971&amp;");"</f>
        <v xml:space="preserve">    ARM_MPU_SetMemAttr_NS(1,MPU_NS_VAL_IDX1);</v>
      </c>
    </row>
    <row r="973" spans="1:2" x14ac:dyDescent="0.25">
      <c r="B973" s="18" t="s">
        <v>32</v>
      </c>
    </row>
    <row r="974" spans="1:2" x14ac:dyDescent="0.25">
      <c r="A974">
        <f>A971+1</f>
        <v>2</v>
      </c>
      <c r="B974" s="18" t="str">
        <f>"  #if defined (MPU_NS_INIT_IDX"&amp;A974&amp;") &amp;&amp; (MPU_NS_INIT_IDX"&amp;A974&amp;" == 1U)"</f>
        <v xml:space="preserve">  #if defined (MPU_NS_INIT_IDX2) &amp;&amp; (MPU_NS_INIT_IDX2 == 1U)</v>
      </c>
    </row>
    <row r="975" spans="1:2" x14ac:dyDescent="0.25">
      <c r="B975" s="18" t="str">
        <f>"    ARM_MPU_SetMemAttr_NS("&amp;A974&amp;",MPU_NS_VAL_IDX"&amp;A974&amp;");"</f>
        <v xml:space="preserve">    ARM_MPU_SetMemAttr_NS(2,MPU_NS_VAL_IDX2);</v>
      </c>
    </row>
    <row r="976" spans="1:2" x14ac:dyDescent="0.25">
      <c r="B976" s="18" t="s">
        <v>32</v>
      </c>
    </row>
    <row r="977" spans="1:2" x14ac:dyDescent="0.25">
      <c r="A977">
        <f>A974+1</f>
        <v>3</v>
      </c>
      <c r="B977" s="18" t="str">
        <f>"  #if defined (MPU_NS_INIT_IDX"&amp;A977&amp;") &amp;&amp; (MPU_NS_INIT_IDX"&amp;A977&amp;" == 1U)"</f>
        <v xml:space="preserve">  #if defined (MPU_NS_INIT_IDX3) &amp;&amp; (MPU_NS_INIT_IDX3 == 1U)</v>
      </c>
    </row>
    <row r="978" spans="1:2" x14ac:dyDescent="0.25">
      <c r="B978" s="18" t="str">
        <f>"    ARM_MPU_SetMemAttr_NS("&amp;A977&amp;",MPU_NS_VAL_IDX"&amp;A977&amp;");"</f>
        <v xml:space="preserve">    ARM_MPU_SetMemAttr_NS(3,MPU_NS_VAL_IDX3);</v>
      </c>
    </row>
    <row r="979" spans="1:2" x14ac:dyDescent="0.25">
      <c r="B979" s="18" t="s">
        <v>32</v>
      </c>
    </row>
    <row r="980" spans="1:2" x14ac:dyDescent="0.25">
      <c r="A980">
        <f>A977+1</f>
        <v>4</v>
      </c>
      <c r="B980" s="18" t="str">
        <f>"  #if defined (MPU_NS_INIT_IDX"&amp;A980&amp;") &amp;&amp; (MPU_NS_INIT_IDX"&amp;A980&amp;" == 1U)"</f>
        <v xml:space="preserve">  #if defined (MPU_NS_INIT_IDX4) &amp;&amp; (MPU_NS_INIT_IDX4 == 1U)</v>
      </c>
    </row>
    <row r="981" spans="1:2" x14ac:dyDescent="0.25">
      <c r="B981" s="18" t="str">
        <f>"    ARM_MPU_SetMemAttr_NS("&amp;A980&amp;",MPU_NS_VAL_IDX"&amp;A980&amp;");"</f>
        <v xml:space="preserve">    ARM_MPU_SetMemAttr_NS(4,MPU_NS_VAL_IDX4);</v>
      </c>
    </row>
    <row r="982" spans="1:2" x14ac:dyDescent="0.25">
      <c r="B982" s="18" t="s">
        <v>32</v>
      </c>
    </row>
    <row r="983" spans="1:2" x14ac:dyDescent="0.25">
      <c r="A983">
        <f>A980+1</f>
        <v>5</v>
      </c>
      <c r="B983" s="18" t="str">
        <f>"  #if defined (MPU_NS_INIT_IDX"&amp;A983&amp;") &amp;&amp; (MPU_NS_INIT_IDX"&amp;A983&amp;" == 1U)"</f>
        <v xml:space="preserve">  #if defined (MPU_NS_INIT_IDX5) &amp;&amp; (MPU_NS_INIT_IDX5 == 1U)</v>
      </c>
    </row>
    <row r="984" spans="1:2" x14ac:dyDescent="0.25">
      <c r="B984" s="18" t="str">
        <f>"    ARM_MPU_SetMemAttr_NS("&amp;A983&amp;",MPU_NS_VAL_IDX"&amp;A983&amp;");"</f>
        <v xml:space="preserve">    ARM_MPU_SetMemAttr_NS(5,MPU_NS_VAL_IDX5);</v>
      </c>
    </row>
    <row r="985" spans="1:2" x14ac:dyDescent="0.25">
      <c r="B985" s="18" t="s">
        <v>32</v>
      </c>
    </row>
    <row r="986" spans="1:2" x14ac:dyDescent="0.25">
      <c r="A986">
        <f>A983+1</f>
        <v>6</v>
      </c>
      <c r="B986" s="18" t="str">
        <f>"  #if defined (MPU_NS_INIT_IDX"&amp;A986&amp;") &amp;&amp; (MPU_NS_INIT_IDX"&amp;A986&amp;" == 1U)"</f>
        <v xml:space="preserve">  #if defined (MPU_NS_INIT_IDX6) &amp;&amp; (MPU_NS_INIT_IDX6 == 1U)</v>
      </c>
    </row>
    <row r="987" spans="1:2" x14ac:dyDescent="0.25">
      <c r="B987" s="18" t="str">
        <f>"    ARM_MPU_SetMemAttr_NS("&amp;A986&amp;",MPU_NS_VAL_IDX"&amp;A986&amp;");"</f>
        <v xml:space="preserve">    ARM_MPU_SetMemAttr_NS(6,MPU_NS_VAL_IDX6);</v>
      </c>
    </row>
    <row r="988" spans="1:2" x14ac:dyDescent="0.25">
      <c r="B988" s="18" t="s">
        <v>32</v>
      </c>
    </row>
    <row r="989" spans="1:2" x14ac:dyDescent="0.25">
      <c r="A989">
        <f>A986+1</f>
        <v>7</v>
      </c>
      <c r="B989" s="18" t="str">
        <f>"  #if defined (MPU_NS_INIT_IDX"&amp;A989&amp;") &amp;&amp; (MPU_NS_INIT_IDX"&amp;A989&amp;" == 1U)"</f>
        <v xml:space="preserve">  #if defined (MPU_NS_INIT_IDX7) &amp;&amp; (MPU_NS_INIT_IDX7 == 1U)</v>
      </c>
    </row>
    <row r="990" spans="1:2" x14ac:dyDescent="0.25">
      <c r="B990" s="18" t="str">
        <f>"    ARM_MPU_SetMemAttr_NS("&amp;A989&amp;",MPU_NS_VAL_IDX"&amp;A989&amp;");"</f>
        <v xml:space="preserve">    ARM_MPU_SetMemAttr_NS(7,MPU_NS_VAL_IDX7);</v>
      </c>
    </row>
    <row r="991" spans="1:2" x14ac:dyDescent="0.25">
      <c r="B991" s="18" t="s">
        <v>32</v>
      </c>
    </row>
    <row r="992" spans="1:2" x14ac:dyDescent="0.25">
      <c r="B992" s="18" t="s">
        <v>179</v>
      </c>
    </row>
    <row r="993" spans="1:2" x14ac:dyDescent="0.25">
      <c r="A993">
        <v>0</v>
      </c>
      <c r="B993" s="18" t="str">
        <f>"  #if defined (MPU_NS_CONFIG_REG"&amp;A993&amp;") &amp;&amp; (MPU_NS_CONFIG_REG"&amp;A993&amp;" == 1U)"</f>
        <v xml:space="preserve">  #if defined (MPU_NS_CONFIG_REG0) &amp;&amp; (MPU_NS_CONFIG_REG0 == 1U)</v>
      </c>
    </row>
    <row r="994" spans="1:2" x14ac:dyDescent="0.25">
      <c r="B994" s="18" t="str">
        <f>"    MPU_NS_CONFIG_REGION("&amp;A993&amp;");"</f>
        <v xml:space="preserve">    MPU_NS_CONFIG_REGION(0);</v>
      </c>
    </row>
    <row r="995" spans="1:2" x14ac:dyDescent="0.25">
      <c r="B995" s="18" t="s">
        <v>32</v>
      </c>
    </row>
    <row r="996" spans="1:2" x14ac:dyDescent="0.25">
      <c r="A996">
        <v>1</v>
      </c>
      <c r="B996" s="18" t="str">
        <f>"  #if defined (MPU_NS_CONFIG_REG"&amp;A996&amp;") &amp;&amp; (MPU_NS_CONFIG_REG"&amp;A996&amp;" == 1U)"</f>
        <v xml:space="preserve">  #if defined (MPU_NS_CONFIG_REG1) &amp;&amp; (MPU_NS_CONFIG_REG1 == 1U)</v>
      </c>
    </row>
    <row r="997" spans="1:2" x14ac:dyDescent="0.25">
      <c r="B997" s="18" t="str">
        <f>"    MPU_NS_CONFIG_REGION("&amp;A996&amp;");"</f>
        <v xml:space="preserve">    MPU_NS_CONFIG_REGION(1);</v>
      </c>
    </row>
    <row r="998" spans="1:2" x14ac:dyDescent="0.25">
      <c r="B998" s="18" t="s">
        <v>32</v>
      </c>
    </row>
    <row r="999" spans="1:2" x14ac:dyDescent="0.25">
      <c r="A999">
        <v>2</v>
      </c>
      <c r="B999" s="18" t="str">
        <f>"  #if defined (MPU_NS_CONFIG_REG"&amp;A999&amp;") &amp;&amp; (MPU_NS_CONFIG_REG"&amp;A999&amp;" == 1U)"</f>
        <v xml:space="preserve">  #if defined (MPU_NS_CONFIG_REG2) &amp;&amp; (MPU_NS_CONFIG_REG2 == 1U)</v>
      </c>
    </row>
    <row r="1000" spans="1:2" x14ac:dyDescent="0.25">
      <c r="B1000" s="18" t="str">
        <f>"    MPU_NS_CONFIG_REGION("&amp;A999&amp;");"</f>
        <v xml:space="preserve">    MPU_NS_CONFIG_REGION(2);</v>
      </c>
    </row>
    <row r="1001" spans="1:2" x14ac:dyDescent="0.25">
      <c r="B1001" s="18" t="s">
        <v>32</v>
      </c>
    </row>
    <row r="1002" spans="1:2" x14ac:dyDescent="0.25">
      <c r="A1002">
        <v>3</v>
      </c>
      <c r="B1002" s="18" t="str">
        <f>"  #if defined (MPU_NS_CONFIG_REG"&amp;A1002&amp;") &amp;&amp; (MPU_NS_CONFIG_REG"&amp;A1002&amp;" == 1U)"</f>
        <v xml:space="preserve">  #if defined (MPU_NS_CONFIG_REG3) &amp;&amp; (MPU_NS_CONFIG_REG3 == 1U)</v>
      </c>
    </row>
    <row r="1003" spans="1:2" x14ac:dyDescent="0.25">
      <c r="B1003" s="18" t="str">
        <f>"    MPU_NS_CONFIG_REGION("&amp;A1002&amp;");"</f>
        <v xml:space="preserve">    MPU_NS_CONFIG_REGION(3);</v>
      </c>
    </row>
    <row r="1004" spans="1:2" x14ac:dyDescent="0.25">
      <c r="B1004" s="18" t="s">
        <v>32</v>
      </c>
    </row>
    <row r="1005" spans="1:2" x14ac:dyDescent="0.25">
      <c r="A1005">
        <v>4</v>
      </c>
      <c r="B1005" s="18" t="str">
        <f>"  #if defined (MPU_NS_CONFIG_REG"&amp;A1005&amp;") &amp;&amp; (MPU_NS_CONFIG_REG"&amp;A1005&amp;" == 1U)"</f>
        <v xml:space="preserve">  #if defined (MPU_NS_CONFIG_REG4) &amp;&amp; (MPU_NS_CONFIG_REG4 == 1U)</v>
      </c>
    </row>
    <row r="1006" spans="1:2" x14ac:dyDescent="0.25">
      <c r="B1006" s="18" t="str">
        <f>"    MPU_NS_CONFIG_REGION("&amp;A1005&amp;");"</f>
        <v xml:space="preserve">    MPU_NS_CONFIG_REGION(4);</v>
      </c>
    </row>
    <row r="1007" spans="1:2" x14ac:dyDescent="0.25">
      <c r="B1007" s="18" t="s">
        <v>32</v>
      </c>
    </row>
    <row r="1008" spans="1:2" x14ac:dyDescent="0.25">
      <c r="A1008">
        <v>5</v>
      </c>
      <c r="B1008" s="18" t="str">
        <f>"  #if defined (MPU_NS_CONFIG_REG"&amp;A1008&amp;") &amp;&amp; (MPU_NS_CONFIG_REG"&amp;A1008&amp;" == 1U)"</f>
        <v xml:space="preserve">  #if defined (MPU_NS_CONFIG_REG5) &amp;&amp; (MPU_NS_CONFIG_REG5 == 1U)</v>
      </c>
    </row>
    <row r="1009" spans="1:2" x14ac:dyDescent="0.25">
      <c r="B1009" s="18" t="str">
        <f>"    MPU_NS_CONFIG_REGION("&amp;A1008&amp;");"</f>
        <v xml:space="preserve">    MPU_NS_CONFIG_REGION(5);</v>
      </c>
    </row>
    <row r="1010" spans="1:2" x14ac:dyDescent="0.25">
      <c r="B1010" s="18" t="s">
        <v>32</v>
      </c>
    </row>
    <row r="1011" spans="1:2" x14ac:dyDescent="0.25">
      <c r="A1011">
        <v>6</v>
      </c>
      <c r="B1011" s="18" t="str">
        <f>"  #if defined (MPU_NS_CONFIG_REG"&amp;A1011&amp;") &amp;&amp; (MPU_NS_CONFIG_REG"&amp;A1011&amp;" == 1U)"</f>
        <v xml:space="preserve">  #if defined (MPU_NS_CONFIG_REG6) &amp;&amp; (MPU_NS_CONFIG_REG6 == 1U)</v>
      </c>
    </row>
    <row r="1012" spans="1:2" x14ac:dyDescent="0.25">
      <c r="B1012" s="18" t="str">
        <f>"    MPU_NS_CONFIG_REGION("&amp;A1011&amp;");"</f>
        <v xml:space="preserve">    MPU_NS_CONFIG_REGION(6);</v>
      </c>
    </row>
    <row r="1013" spans="1:2" x14ac:dyDescent="0.25">
      <c r="B1013" s="18" t="s">
        <v>32</v>
      </c>
    </row>
    <row r="1014" spans="1:2" x14ac:dyDescent="0.25">
      <c r="A1014">
        <v>7</v>
      </c>
      <c r="B1014" s="18" t="str">
        <f>"  #if defined (MPU_NS_CONFIG_REG"&amp;A1014&amp;") &amp;&amp; (MPU_NS_CONFIG_REG"&amp;A1014&amp;" == 1U)"</f>
        <v xml:space="preserve">  #if defined (MPU_NS_CONFIG_REG7) &amp;&amp; (MPU_NS_CONFIG_REG7 == 1U)</v>
      </c>
    </row>
    <row r="1015" spans="1:2" x14ac:dyDescent="0.25">
      <c r="B1015" s="18" t="str">
        <f>"    MPU_NS_CONFIG_REGION("&amp;A1014&amp;");"</f>
        <v xml:space="preserve">    MPU_NS_CONFIG_REGION(7);</v>
      </c>
    </row>
    <row r="1016" spans="1:2" x14ac:dyDescent="0.25">
      <c r="B1016" s="18" t="s">
        <v>32</v>
      </c>
    </row>
    <row r="1017" spans="1:2" x14ac:dyDescent="0.25">
      <c r="A1017">
        <v>8</v>
      </c>
      <c r="B1017" s="18" t="str">
        <f>"  #if defined (MPU_NS_CONFIG_REG"&amp;A1017&amp;") &amp;&amp; (MPU_NS_CONFIG_REG"&amp;A1017&amp;" == 1U)"</f>
        <v xml:space="preserve">  #if defined (MPU_NS_CONFIG_REG8) &amp;&amp; (MPU_NS_CONFIG_REG8 == 1U)</v>
      </c>
    </row>
    <row r="1018" spans="1:2" x14ac:dyDescent="0.25">
      <c r="B1018" s="18" t="str">
        <f>"    MPU_NS_CONFIG_REGION("&amp;A1017&amp;");"</f>
        <v xml:space="preserve">    MPU_NS_CONFIG_REGION(8);</v>
      </c>
    </row>
    <row r="1019" spans="1:2" x14ac:dyDescent="0.25">
      <c r="B1019" s="18" t="s">
        <v>32</v>
      </c>
    </row>
    <row r="1020" spans="1:2" x14ac:dyDescent="0.25">
      <c r="A1020">
        <v>9</v>
      </c>
      <c r="B1020" s="18" t="str">
        <f>"  #if defined (MPU_NS_CONFIG_REG"&amp;A1020&amp;") &amp;&amp; (MPU_NS_CONFIG_REG"&amp;A1020&amp;" == 1U)"</f>
        <v xml:space="preserve">  #if defined (MPU_NS_CONFIG_REG9) &amp;&amp; (MPU_NS_CONFIG_REG9 == 1U)</v>
      </c>
    </row>
    <row r="1021" spans="1:2" x14ac:dyDescent="0.25">
      <c r="B1021" s="18" t="str">
        <f>"    MPU_NS_CONFIG_REGION("&amp;A1020&amp;");"</f>
        <v xml:space="preserve">    MPU_NS_CONFIG_REGION(9);</v>
      </c>
    </row>
    <row r="1022" spans="1:2" x14ac:dyDescent="0.25">
      <c r="B1022" s="18" t="s">
        <v>32</v>
      </c>
    </row>
    <row r="1023" spans="1:2" x14ac:dyDescent="0.25">
      <c r="A1023">
        <v>10</v>
      </c>
      <c r="B1023" s="18" t="str">
        <f>"  #if defined (MPU_NS_CONFIG_REG"&amp;A1023&amp;") &amp;&amp; (MPU_NS_CONFIG_REG"&amp;A1023&amp;" == 1U)"</f>
        <v xml:space="preserve">  #if defined (MPU_NS_CONFIG_REG10) &amp;&amp; (MPU_NS_CONFIG_REG10 == 1U)</v>
      </c>
    </row>
    <row r="1024" spans="1:2" x14ac:dyDescent="0.25">
      <c r="B1024" s="18" t="str">
        <f>"    MPU_NS_CONFIG_REGION("&amp;A1023&amp;");"</f>
        <v xml:space="preserve">    MPU_NS_CONFIG_REGION(10);</v>
      </c>
    </row>
    <row r="1025" spans="1:2" x14ac:dyDescent="0.25">
      <c r="B1025" s="18" t="s">
        <v>32</v>
      </c>
    </row>
    <row r="1026" spans="1:2" x14ac:dyDescent="0.25">
      <c r="A1026">
        <v>11</v>
      </c>
      <c r="B1026" s="18" t="str">
        <f>"  #if defined (MPU_NS_CONFIG_REG"&amp;A1026&amp;") &amp;&amp; (MPU_NS_CONFIG_REG"&amp;A1026&amp;" == 1U)"</f>
        <v xml:space="preserve">  #if defined (MPU_NS_CONFIG_REG11) &amp;&amp; (MPU_NS_CONFIG_REG11 == 1U)</v>
      </c>
    </row>
    <row r="1027" spans="1:2" x14ac:dyDescent="0.25">
      <c r="B1027" s="18" t="str">
        <f>"    MPU_NS_CONFIG_REGION("&amp;A1026&amp;");"</f>
        <v xml:space="preserve">    MPU_NS_CONFIG_REGION(11);</v>
      </c>
    </row>
    <row r="1028" spans="1:2" x14ac:dyDescent="0.25">
      <c r="B1028" s="18" t="s">
        <v>32</v>
      </c>
    </row>
    <row r="1029" spans="1:2" x14ac:dyDescent="0.25">
      <c r="A1029">
        <v>12</v>
      </c>
      <c r="B1029" s="18" t="str">
        <f>"  #if defined (MPU_NS_CONFIG_REG"&amp;A1029&amp;") &amp;&amp; (MPU_NS_CONFIG_REG"&amp;A1029&amp;" == 1U)"</f>
        <v xml:space="preserve">  #if defined (MPU_NS_CONFIG_REG12) &amp;&amp; (MPU_NS_CONFIG_REG12 == 1U)</v>
      </c>
    </row>
    <row r="1030" spans="1:2" x14ac:dyDescent="0.25">
      <c r="B1030" s="18" t="str">
        <f>"    MPU_NS_CONFIG_REGION("&amp;A1029&amp;");"</f>
        <v xml:space="preserve">    MPU_NS_CONFIG_REGION(12);</v>
      </c>
    </row>
    <row r="1031" spans="1:2" x14ac:dyDescent="0.25">
      <c r="B1031" s="18" t="s">
        <v>32</v>
      </c>
    </row>
    <row r="1032" spans="1:2" x14ac:dyDescent="0.25">
      <c r="A1032">
        <v>13</v>
      </c>
      <c r="B1032" s="18" t="str">
        <f>"  #if defined (MPU_NS_CONFIG_REG"&amp;A1032&amp;") &amp;&amp; (MPU_NS_CONFIG_REG"&amp;A1032&amp;" == 1U)"</f>
        <v xml:space="preserve">  #if defined (MPU_NS_CONFIG_REG13) &amp;&amp; (MPU_NS_CONFIG_REG13 == 1U)</v>
      </c>
    </row>
    <row r="1033" spans="1:2" x14ac:dyDescent="0.25">
      <c r="B1033" s="18" t="str">
        <f>"    MPU_NS_CONFIG_REGION("&amp;A1032&amp;");"</f>
        <v xml:space="preserve">    MPU_NS_CONFIG_REGION(13);</v>
      </c>
    </row>
    <row r="1034" spans="1:2" x14ac:dyDescent="0.25">
      <c r="B1034" s="18" t="s">
        <v>32</v>
      </c>
    </row>
    <row r="1035" spans="1:2" x14ac:dyDescent="0.25">
      <c r="A1035">
        <v>14</v>
      </c>
      <c r="B1035" s="18" t="str">
        <f>"  #if defined (MPU_NS_CONFIG_REG"&amp;A1035&amp;") &amp;&amp; (MPU_NS_CONFIG_REG"&amp;A1035&amp;" == 1U)"</f>
        <v xml:space="preserve">  #if defined (MPU_NS_CONFIG_REG14) &amp;&amp; (MPU_NS_CONFIG_REG14 == 1U)</v>
      </c>
    </row>
    <row r="1036" spans="1:2" x14ac:dyDescent="0.25">
      <c r="B1036" s="18" t="str">
        <f>"    MPU_NS_CONFIG_REGION("&amp;A1035&amp;");"</f>
        <v xml:space="preserve">    MPU_NS_CONFIG_REGION(14);</v>
      </c>
    </row>
    <row r="1037" spans="1:2" x14ac:dyDescent="0.25">
      <c r="B1037" s="18" t="s">
        <v>32</v>
      </c>
    </row>
    <row r="1038" spans="1:2" x14ac:dyDescent="0.25">
      <c r="A1038">
        <v>15</v>
      </c>
      <c r="B1038" s="18" t="str">
        <f>"  #if defined (MPU_NS_CONFIG_REG"&amp;A1038&amp;") &amp;&amp; (MPU_NS_CONFIG_REG"&amp;A1038&amp;" == 1U)"</f>
        <v xml:space="preserve">  #if defined (MPU_NS_CONFIG_REG15) &amp;&amp; (MPU_NS_CONFIG_REG15 == 1U)</v>
      </c>
    </row>
    <row r="1039" spans="1:2" x14ac:dyDescent="0.25">
      <c r="B1039" s="18" t="str">
        <f>"    MPU_NS_CONFIG_REGION("&amp;A1038&amp;");"</f>
        <v xml:space="preserve">    MPU_NS_CONFIG_REGION(15);</v>
      </c>
    </row>
    <row r="1040" spans="1:2" x14ac:dyDescent="0.25">
      <c r="B1040" s="18" t="s">
        <v>32</v>
      </c>
    </row>
    <row r="1041" spans="2:2" x14ac:dyDescent="0.25">
      <c r="B1041" s="18" t="s">
        <v>180</v>
      </c>
    </row>
    <row r="1042" spans="2:2" x14ac:dyDescent="0.25">
      <c r="B1042" s="18" t="s">
        <v>181</v>
      </c>
    </row>
    <row r="1043" spans="2:2" x14ac:dyDescent="0.25">
      <c r="B1043" s="18" t="s">
        <v>33</v>
      </c>
    </row>
    <row r="1044" spans="2:2" x14ac:dyDescent="0.25">
      <c r="B1044" s="18" t="s">
        <v>183</v>
      </c>
    </row>
    <row r="1045" spans="2:2" x14ac:dyDescent="0.25">
      <c r="B1045" s="18" t="s">
        <v>209</v>
      </c>
    </row>
    <row r="1046" spans="2:2" x14ac:dyDescent="0.25">
      <c r="B1046" s="18" t="s">
        <v>34</v>
      </c>
    </row>
    <row r="1048" spans="2:2" x14ac:dyDescent="0.25">
      <c r="B1048" s="18" t="s">
        <v>182</v>
      </c>
    </row>
    <row r="1049" spans="2:2" x14ac:dyDescent="0.25">
      <c r="B1049" s="18" t="s">
        <v>174</v>
      </c>
    </row>
    <row r="1050" spans="2:2" x14ac:dyDescent="0.25">
      <c r="B1050" s="18" t="s">
        <v>222</v>
      </c>
    </row>
    <row r="1051" spans="2:2" x14ac:dyDescent="0.25">
      <c r="B1051" s="18" t="s">
        <v>221</v>
      </c>
    </row>
    <row r="1052" spans="2:2" x14ac:dyDescent="0.25">
      <c r="B1052" s="18" t="s">
        <v>36</v>
      </c>
    </row>
    <row r="1053" spans="2:2" x14ac:dyDescent="0.25">
      <c r="B1053" s="18" t="s">
        <v>30</v>
      </c>
    </row>
    <row r="1054" spans="2:2" x14ac:dyDescent="0.25">
      <c r="B1054" s="18" t="s">
        <v>31</v>
      </c>
    </row>
    <row r="1055" spans="2:2" x14ac:dyDescent="0.25">
      <c r="B1055" s="18" t="s">
        <v>198</v>
      </c>
    </row>
    <row r="1056" spans="2:2" x14ac:dyDescent="0.25">
      <c r="B1056" s="18" t="s">
        <v>257</v>
      </c>
    </row>
    <row r="1057" spans="2:2" x14ac:dyDescent="0.25">
      <c r="B1057" s="18" t="s">
        <v>197</v>
      </c>
    </row>
    <row r="1058" spans="2:2" x14ac:dyDescent="0.25">
      <c r="B1058" s="18" t="s">
        <v>206</v>
      </c>
    </row>
    <row r="1059" spans="2:2" x14ac:dyDescent="0.25">
      <c r="B1059" s="18" t="s">
        <v>34</v>
      </c>
    </row>
    <row r="1060" spans="2:2" x14ac:dyDescent="0.25">
      <c r="B1060" s="18" t="s">
        <v>172</v>
      </c>
    </row>
    <row r="1061" spans="2:2" x14ac:dyDescent="0.25">
      <c r="B1061" s="18"/>
    </row>
    <row r="1062" spans="2:2" x14ac:dyDescent="0.25">
      <c r="B1062" s="18" t="s">
        <v>40</v>
      </c>
    </row>
    <row r="1063" spans="2:2" x14ac:dyDescent="0.25">
      <c r="B1063" s="18" t="s">
        <v>42</v>
      </c>
    </row>
    <row r="1064" spans="2:2" x14ac:dyDescent="0.25">
      <c r="B1064" s="18" t="s">
        <v>25</v>
      </c>
    </row>
    <row r="1065" spans="2:2" x14ac:dyDescent="0.25">
      <c r="B1065" s="19"/>
    </row>
    <row r="1066" spans="2:2" x14ac:dyDescent="0.25">
      <c r="B1066" s="18" t="s">
        <v>194</v>
      </c>
    </row>
  </sheetData>
  <sheetProtection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CONFIG</vt:lpstr>
      <vt:lpstr>CONFIG_NS</vt:lpstr>
      <vt:lpstr>CODE_KEIL</vt:lpstr>
      <vt:lpstr>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Remo Markgraf</dc:creator>
  <cp:lastModifiedBy>Remo Markgraf</cp:lastModifiedBy>
  <cp:lastPrinted>2025-02-27T01:22:38Z</cp:lastPrinted>
  <dcterms:created xsi:type="dcterms:W3CDTF">2025-02-25T11:26:17Z</dcterms:created>
  <dcterms:modified xsi:type="dcterms:W3CDTF">2026-02-12T16:54:33Z</dcterms:modified>
</cp:coreProperties>
</file>